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tabRatio="929" activeTab="0"/>
  </bookViews>
  <sheets>
    <sheet name="EffectivenessEclipse" sheetId="1" r:id="rId1"/>
    <sheet name="RawDataEclipse" sheetId="2" r:id="rId2"/>
  </sheets>
  <definedNames/>
  <calcPr fullCalcOnLoad="1"/>
</workbook>
</file>

<file path=xl/sharedStrings.xml><?xml version="1.0" encoding="utf-8"?>
<sst xmlns="http://schemas.openxmlformats.org/spreadsheetml/2006/main" count="101" uniqueCount="42">
  <si>
    <r>
      <t>IR</t>
    </r>
    <r>
      <rPr>
        <vertAlign val="subscript"/>
        <sz val="8"/>
        <color indexed="8"/>
        <rFont val="Times New Roman"/>
        <family val="1"/>
      </rPr>
      <t>LSI</t>
    </r>
  </si>
  <si>
    <r>
      <t>IR</t>
    </r>
    <r>
      <rPr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Dyn</t>
    </r>
    <r>
      <rPr>
        <vertAlign val="subscript"/>
        <sz val="10"/>
        <color indexed="8"/>
        <rFont val="Times New Roman"/>
        <family val="1"/>
      </rPr>
      <t>bin</t>
    </r>
  </si>
  <si>
    <r>
      <t>PR</t>
    </r>
    <r>
      <rPr>
        <vertAlign val="subscript"/>
        <sz val="10"/>
        <color indexed="8"/>
        <rFont val="Times New Roman"/>
        <family val="1"/>
      </rPr>
      <t xml:space="preserve"> bin</t>
    </r>
  </si>
  <si>
    <r>
      <t>PR</t>
    </r>
    <r>
      <rPr>
        <vertAlign val="subscript"/>
        <sz val="10"/>
        <color indexed="8"/>
        <rFont val="Times New Roman"/>
        <family val="1"/>
      </rPr>
      <t xml:space="preserve"> freq</t>
    </r>
  </si>
  <si>
    <r>
      <t>HITS(h)</t>
    </r>
    <r>
      <rPr>
        <vertAlign val="subscript"/>
        <sz val="10"/>
        <color indexed="8"/>
        <rFont val="Times New Roman"/>
        <family val="1"/>
      </rPr>
      <t xml:space="preserve"> bin</t>
    </r>
  </si>
  <si>
    <r>
      <t>HITS(h)</t>
    </r>
    <r>
      <rPr>
        <vertAlign val="subscript"/>
        <sz val="10"/>
        <color indexed="8"/>
        <rFont val="Times New Roman"/>
        <family val="1"/>
      </rPr>
      <t xml:space="preserve"> freq</t>
    </r>
  </si>
  <si>
    <r>
      <t>HITS(a)</t>
    </r>
    <r>
      <rPr>
        <vertAlign val="subscript"/>
        <sz val="10"/>
        <color indexed="8"/>
        <rFont val="Times New Roman"/>
        <family val="1"/>
      </rPr>
      <t xml:space="preserve"> bin</t>
    </r>
  </si>
  <si>
    <r>
      <t>HITS(a)</t>
    </r>
    <r>
      <rPr>
        <vertAlign val="subscript"/>
        <sz val="10"/>
        <color indexed="8"/>
        <rFont val="Times New Roman"/>
        <family val="1"/>
      </rPr>
      <t xml:space="preserve"> freq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</si>
  <si>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PR</t>
    </r>
    <r>
      <rPr>
        <vertAlign val="superscript"/>
        <sz val="10"/>
        <color indexed="8"/>
        <rFont val="Times New Roman"/>
        <family val="1"/>
      </rPr>
      <t>top</t>
    </r>
    <r>
      <rPr>
        <vertAlign val="subscript"/>
        <sz val="10"/>
        <color indexed="8"/>
        <rFont val="Times New Roman"/>
        <family val="1"/>
      </rPr>
      <t>freq40%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</si>
  <si>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PR</t>
    </r>
    <r>
      <rPr>
        <vertAlign val="superscript"/>
        <sz val="10"/>
        <color indexed="8"/>
        <rFont val="Times New Roman"/>
        <family val="1"/>
      </rPr>
      <t>bot</t>
    </r>
    <r>
      <rPr>
        <vertAlign val="subscript"/>
        <sz val="10"/>
        <color indexed="8"/>
        <rFont val="Times New Roman"/>
        <family val="1"/>
      </rPr>
      <t>freq20%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</si>
  <si>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HITS(a)</t>
    </r>
    <r>
      <rPr>
        <vertAlign val="superscript"/>
        <sz val="10"/>
        <color indexed="8"/>
        <rFont val="Times New Roman"/>
        <family val="1"/>
      </rPr>
      <t>top</t>
    </r>
    <r>
      <rPr>
        <vertAlign val="subscript"/>
        <sz val="10"/>
        <color indexed="8"/>
        <rFont val="Times New Roman"/>
        <family val="1"/>
      </rPr>
      <t>freq30%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</si>
  <si>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HITS(a)</t>
    </r>
    <r>
      <rPr>
        <vertAlign val="superscript"/>
        <sz val="10"/>
        <color indexed="8"/>
        <rFont val="Times New Roman"/>
        <family val="1"/>
      </rPr>
      <t>bot</t>
    </r>
    <r>
      <rPr>
        <vertAlign val="subscript"/>
        <sz val="10"/>
        <color indexed="8"/>
        <rFont val="Times New Roman"/>
        <family val="1"/>
      </rPr>
      <t>freq40%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</si>
  <si>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HITS(h)</t>
    </r>
    <r>
      <rPr>
        <vertAlign val="superscript"/>
        <sz val="10"/>
        <color indexed="8"/>
        <rFont val="Times New Roman"/>
        <family val="1"/>
      </rPr>
      <t>top</t>
    </r>
    <r>
      <rPr>
        <vertAlign val="subscript"/>
        <sz val="10"/>
        <color indexed="8"/>
        <rFont val="Times New Roman"/>
        <family val="1"/>
      </rPr>
      <t>freq10%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</si>
  <si>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HITS(h)</t>
    </r>
    <r>
      <rPr>
        <vertAlign val="superscript"/>
        <sz val="10"/>
        <color indexed="8"/>
        <rFont val="Times New Roman"/>
        <family val="1"/>
      </rPr>
      <t>bot</t>
    </r>
    <r>
      <rPr>
        <vertAlign val="subscript"/>
        <sz val="10"/>
        <color indexed="8"/>
        <rFont val="Times New Roman"/>
        <family val="1"/>
      </rPr>
      <t>freq60%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</si>
  <si>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HITS(a)</t>
    </r>
    <r>
      <rPr>
        <vertAlign val="superscript"/>
        <sz val="10"/>
        <color indexed="8"/>
        <rFont val="Times New Roman"/>
        <family val="1"/>
      </rPr>
      <t>top</t>
    </r>
    <r>
      <rPr>
        <vertAlign val="subscript"/>
        <sz val="10"/>
        <color indexed="8"/>
        <rFont val="Times New Roman"/>
        <family val="1"/>
      </rPr>
      <t>bin20%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</si>
  <si>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HITS(a)</t>
    </r>
    <r>
      <rPr>
        <vertAlign val="superscript"/>
        <sz val="10"/>
        <color indexed="8"/>
        <rFont val="Times New Roman"/>
        <family val="1"/>
      </rPr>
      <t>bot</t>
    </r>
    <r>
      <rPr>
        <vertAlign val="subscript"/>
        <sz val="10"/>
        <color indexed="8"/>
        <rFont val="Times New Roman"/>
        <family val="1"/>
      </rPr>
      <t>bin40%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</si>
  <si>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HITS(h)</t>
    </r>
    <r>
      <rPr>
        <vertAlign val="superscript"/>
        <sz val="10"/>
        <color indexed="8"/>
        <rFont val="Times New Roman"/>
        <family val="1"/>
      </rPr>
      <t>top</t>
    </r>
    <r>
      <rPr>
        <vertAlign val="subscript"/>
        <sz val="10"/>
        <color indexed="8"/>
        <rFont val="Times New Roman"/>
        <family val="1"/>
      </rPr>
      <t>bin10%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</si>
  <si>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HITS(h)</t>
    </r>
    <r>
      <rPr>
        <vertAlign val="superscript"/>
        <sz val="10"/>
        <color indexed="8"/>
        <rFont val="Times New Roman"/>
        <family val="1"/>
      </rPr>
      <t>bot</t>
    </r>
    <r>
      <rPr>
        <vertAlign val="subscript"/>
        <sz val="10"/>
        <color indexed="8"/>
        <rFont val="Times New Roman"/>
        <family val="1"/>
      </rPr>
      <t>bin70%</t>
    </r>
  </si>
  <si>
    <t>X</t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</si>
  <si>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PR</t>
    </r>
    <r>
      <rPr>
        <vertAlign val="superscript"/>
        <sz val="10"/>
        <color indexed="8"/>
        <rFont val="Times New Roman"/>
        <family val="1"/>
      </rPr>
      <t>top</t>
    </r>
    <r>
      <rPr>
        <vertAlign val="subscript"/>
        <sz val="10"/>
        <color indexed="8"/>
        <rFont val="Times New Roman"/>
        <family val="1"/>
      </rPr>
      <t>bin40%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</si>
  <si>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sz val="10"/>
        <color indexed="8"/>
        <rFont val="Times New Roman"/>
        <family val="1"/>
      </rPr>
      <t>PR</t>
    </r>
    <r>
      <rPr>
        <vertAlign val="superscript"/>
        <sz val="10"/>
        <color indexed="8"/>
        <rFont val="Times New Roman"/>
        <family val="1"/>
      </rPr>
      <t>bot</t>
    </r>
    <r>
      <rPr>
        <vertAlign val="subscript"/>
        <sz val="10"/>
        <color indexed="8"/>
        <rFont val="Times New Roman"/>
        <family val="1"/>
      </rPr>
      <t>bin10%</t>
    </r>
  </si>
  <si>
    <t>Eclipse 3.0</t>
  </si>
  <si>
    <r>
      <t>IR</t>
    </r>
    <r>
      <rPr>
        <b/>
        <vertAlign val="subscript"/>
        <sz val="8"/>
        <color indexed="8"/>
        <rFont val="Times New Roman"/>
        <family val="1"/>
      </rPr>
      <t>LSI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</si>
  <si>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Dyn</t>
    </r>
    <r>
      <rPr>
        <b/>
        <vertAlign val="subscript"/>
        <sz val="10"/>
        <color indexed="8"/>
        <rFont val="Times New Roman"/>
        <family val="1"/>
      </rPr>
      <t>bin</t>
    </r>
  </si>
  <si>
    <r>
      <t>PR</t>
    </r>
    <r>
      <rPr>
        <b/>
        <vertAlign val="subscript"/>
        <sz val="10"/>
        <color indexed="8"/>
        <rFont val="Times New Roman"/>
        <family val="1"/>
      </rPr>
      <t xml:space="preserve"> freq</t>
    </r>
  </si>
  <si>
    <r>
      <t>PR</t>
    </r>
    <r>
      <rPr>
        <b/>
        <vertAlign val="subscript"/>
        <sz val="10"/>
        <color indexed="8"/>
        <rFont val="Times New Roman"/>
        <family val="1"/>
      </rPr>
      <t xml:space="preserve"> bin</t>
    </r>
  </si>
  <si>
    <r>
      <t>HITS(a)</t>
    </r>
    <r>
      <rPr>
        <b/>
        <vertAlign val="subscript"/>
        <sz val="10"/>
        <color indexed="8"/>
        <rFont val="Times New Roman"/>
        <family val="1"/>
      </rPr>
      <t xml:space="preserve"> freq</t>
    </r>
  </si>
  <si>
    <r>
      <t>HITS(a)</t>
    </r>
    <r>
      <rPr>
        <b/>
        <vertAlign val="subscript"/>
        <sz val="10"/>
        <color indexed="8"/>
        <rFont val="Times New Roman"/>
        <family val="1"/>
      </rPr>
      <t xml:space="preserve"> bin</t>
    </r>
  </si>
  <si>
    <r>
      <t>HITS(h)</t>
    </r>
    <r>
      <rPr>
        <b/>
        <vertAlign val="subscript"/>
        <sz val="10"/>
        <color indexed="8"/>
        <rFont val="Times New Roman"/>
        <family val="1"/>
      </rPr>
      <t xml:space="preserve"> freq</t>
    </r>
  </si>
  <si>
    <r>
      <t>HITS(h)</t>
    </r>
    <r>
      <rPr>
        <b/>
        <vertAlign val="subscript"/>
        <sz val="10"/>
        <color indexed="8"/>
        <rFont val="Times New Roman"/>
        <family val="1"/>
      </rPr>
      <t xml:space="preserve"> bin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</si>
  <si>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PR</t>
    </r>
    <r>
      <rPr>
        <b/>
        <vertAlign val="superscript"/>
        <sz val="10"/>
        <color indexed="8"/>
        <rFont val="Times New Roman"/>
        <family val="1"/>
      </rPr>
      <t>top</t>
    </r>
    <r>
      <rPr>
        <b/>
        <vertAlign val="subscript"/>
        <sz val="10"/>
        <color indexed="8"/>
        <rFont val="Times New Roman"/>
        <family val="1"/>
      </rPr>
      <t>freq40%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</si>
  <si>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PR</t>
    </r>
    <r>
      <rPr>
        <b/>
        <vertAlign val="superscript"/>
        <sz val="10"/>
        <color indexed="8"/>
        <rFont val="Times New Roman"/>
        <family val="1"/>
      </rPr>
      <t>bot</t>
    </r>
    <r>
      <rPr>
        <b/>
        <vertAlign val="subscript"/>
        <sz val="10"/>
        <color indexed="8"/>
        <rFont val="Times New Roman"/>
        <family val="1"/>
      </rPr>
      <t>freq20%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</si>
  <si>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PR</t>
    </r>
    <r>
      <rPr>
        <b/>
        <vertAlign val="superscript"/>
        <sz val="10"/>
        <color indexed="8"/>
        <rFont val="Times New Roman"/>
        <family val="1"/>
      </rPr>
      <t>top</t>
    </r>
    <r>
      <rPr>
        <b/>
        <vertAlign val="subscript"/>
        <sz val="10"/>
        <color indexed="8"/>
        <rFont val="Times New Roman"/>
        <family val="1"/>
      </rPr>
      <t>bin40%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</si>
  <si>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PR</t>
    </r>
    <r>
      <rPr>
        <b/>
        <vertAlign val="superscript"/>
        <sz val="10"/>
        <color indexed="8"/>
        <rFont val="Times New Roman"/>
        <family val="1"/>
      </rPr>
      <t>bot</t>
    </r>
    <r>
      <rPr>
        <b/>
        <vertAlign val="subscript"/>
        <sz val="10"/>
        <color indexed="8"/>
        <rFont val="Times New Roman"/>
        <family val="1"/>
      </rPr>
      <t>bin10%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</si>
  <si>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HITS(a)</t>
    </r>
    <r>
      <rPr>
        <b/>
        <vertAlign val="superscript"/>
        <sz val="10"/>
        <color indexed="8"/>
        <rFont val="Times New Roman"/>
        <family val="1"/>
      </rPr>
      <t>top</t>
    </r>
    <r>
      <rPr>
        <b/>
        <vertAlign val="subscript"/>
        <sz val="10"/>
        <color indexed="8"/>
        <rFont val="Times New Roman"/>
        <family val="1"/>
      </rPr>
      <t>freq30%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</si>
  <si>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HITS(a)</t>
    </r>
    <r>
      <rPr>
        <b/>
        <vertAlign val="superscript"/>
        <sz val="10"/>
        <color indexed="8"/>
        <rFont val="Times New Roman"/>
        <family val="1"/>
      </rPr>
      <t>bot</t>
    </r>
    <r>
      <rPr>
        <b/>
        <vertAlign val="subscript"/>
        <sz val="10"/>
        <color indexed="8"/>
        <rFont val="Times New Roman"/>
        <family val="1"/>
      </rPr>
      <t>freq40%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</si>
  <si>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HITS(h)</t>
    </r>
    <r>
      <rPr>
        <b/>
        <vertAlign val="superscript"/>
        <sz val="10"/>
        <color indexed="8"/>
        <rFont val="Times New Roman"/>
        <family val="1"/>
      </rPr>
      <t>top</t>
    </r>
    <r>
      <rPr>
        <b/>
        <vertAlign val="subscript"/>
        <sz val="10"/>
        <color indexed="8"/>
        <rFont val="Times New Roman"/>
        <family val="1"/>
      </rPr>
      <t>freq10%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</si>
  <si>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HITS(h)</t>
    </r>
    <r>
      <rPr>
        <b/>
        <vertAlign val="superscript"/>
        <sz val="10"/>
        <color indexed="8"/>
        <rFont val="Times New Roman"/>
        <family val="1"/>
      </rPr>
      <t>bot</t>
    </r>
    <r>
      <rPr>
        <b/>
        <vertAlign val="subscript"/>
        <sz val="10"/>
        <color indexed="8"/>
        <rFont val="Times New Roman"/>
        <family val="1"/>
      </rPr>
      <t>freq60%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</si>
  <si>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HITS(a)</t>
    </r>
    <r>
      <rPr>
        <b/>
        <vertAlign val="superscript"/>
        <sz val="10"/>
        <color indexed="8"/>
        <rFont val="Times New Roman"/>
        <family val="1"/>
      </rPr>
      <t>top</t>
    </r>
    <r>
      <rPr>
        <b/>
        <vertAlign val="subscript"/>
        <sz val="10"/>
        <color indexed="8"/>
        <rFont val="Times New Roman"/>
        <family val="1"/>
      </rPr>
      <t>bin20%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</si>
  <si>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HITS(a)</t>
    </r>
    <r>
      <rPr>
        <b/>
        <vertAlign val="superscript"/>
        <sz val="10"/>
        <color indexed="8"/>
        <rFont val="Times New Roman"/>
        <family val="1"/>
      </rPr>
      <t>bot</t>
    </r>
    <r>
      <rPr>
        <b/>
        <vertAlign val="subscript"/>
        <sz val="10"/>
        <color indexed="8"/>
        <rFont val="Times New Roman"/>
        <family val="1"/>
      </rPr>
      <t>bin40%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</si>
  <si>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HITS(h)</t>
    </r>
    <r>
      <rPr>
        <b/>
        <vertAlign val="superscript"/>
        <sz val="10"/>
        <color indexed="8"/>
        <rFont val="Times New Roman"/>
        <family val="1"/>
      </rPr>
      <t>top</t>
    </r>
    <r>
      <rPr>
        <b/>
        <vertAlign val="subscript"/>
        <sz val="10"/>
        <color indexed="8"/>
        <rFont val="Times New Roman"/>
        <family val="1"/>
      </rPr>
      <t>bin10%</t>
    </r>
  </si>
  <si>
    <r>
      <t>IR</t>
    </r>
    <r>
      <rPr>
        <b/>
        <vertAlign val="subscript"/>
        <sz val="10"/>
        <color indexed="8"/>
        <rFont val="Times New Roman"/>
        <family val="1"/>
      </rPr>
      <t>LSI</t>
    </r>
    <r>
      <rPr>
        <b/>
        <sz val="10"/>
        <color indexed="8"/>
        <rFont val="Times New Roman"/>
        <family val="1"/>
      </rPr>
      <t>HITS(h)</t>
    </r>
    <r>
      <rPr>
        <b/>
        <vertAlign val="superscript"/>
        <sz val="10"/>
        <color indexed="8"/>
        <rFont val="Times New Roman"/>
        <family val="1"/>
      </rPr>
      <t>bot</t>
    </r>
    <r>
      <rPr>
        <b/>
        <vertAlign val="subscript"/>
        <sz val="10"/>
        <color indexed="8"/>
        <rFont val="Times New Roman"/>
        <family val="1"/>
      </rPr>
      <t>bin70%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</si>
</sst>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bscript"/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60">
      <alignment/>
      <protection/>
    </xf>
    <xf numFmtId="11" fontId="2" fillId="0" borderId="0" xfId="60" applyNumberFormat="1">
      <alignment/>
      <protection/>
    </xf>
    <xf numFmtId="0" fontId="2" fillId="0" borderId="0" xfId="60" applyFont="1">
      <alignment/>
      <protection/>
    </xf>
    <xf numFmtId="0" fontId="2" fillId="0" borderId="0" xfId="62">
      <alignment/>
      <protection/>
    </xf>
    <xf numFmtId="11" fontId="2" fillId="0" borderId="0" xfId="62" applyNumberFormat="1">
      <alignment/>
      <protection/>
    </xf>
    <xf numFmtId="0" fontId="2" fillId="0" borderId="0" xfId="62" applyFont="1">
      <alignment/>
      <protection/>
    </xf>
    <xf numFmtId="0" fontId="2" fillId="0" borderId="0" xfId="63">
      <alignment/>
      <protection/>
    </xf>
    <xf numFmtId="11" fontId="2" fillId="0" borderId="0" xfId="63" applyNumberFormat="1">
      <alignment/>
      <protection/>
    </xf>
    <xf numFmtId="0" fontId="2" fillId="0" borderId="0" xfId="63" applyFont="1">
      <alignment/>
      <protection/>
    </xf>
    <xf numFmtId="0" fontId="2" fillId="0" borderId="0" xfId="64">
      <alignment/>
      <protection/>
    </xf>
    <xf numFmtId="11" fontId="2" fillId="0" borderId="0" xfId="64" applyNumberFormat="1">
      <alignment/>
      <protection/>
    </xf>
    <xf numFmtId="0" fontId="2" fillId="0" borderId="0" xfId="65">
      <alignment/>
      <protection/>
    </xf>
    <xf numFmtId="0" fontId="45" fillId="0" borderId="0" xfId="0" applyFont="1" applyAlignment="1">
      <alignment/>
    </xf>
    <xf numFmtId="0" fontId="2" fillId="0" borderId="0" xfId="56">
      <alignment/>
      <protection/>
    </xf>
    <xf numFmtId="9" fontId="2" fillId="0" borderId="0" xfId="57" applyNumberFormat="1" applyFont="1" applyAlignment="1">
      <alignment horizontal="center"/>
      <protection/>
    </xf>
    <xf numFmtId="10" fontId="0" fillId="0" borderId="0" xfId="0" applyNumberFormat="1" applyAlignment="1">
      <alignment horizontal="center"/>
    </xf>
    <xf numFmtId="0" fontId="2" fillId="0" borderId="0" xfId="58">
      <alignment/>
      <protection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3 2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</sheetPr>
  <dimension ref="A1:V21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18.7109375" style="0" bestFit="1" customWidth="1"/>
    <col min="2" max="2" width="8.28125" style="0" bestFit="1" customWidth="1"/>
    <col min="3" max="3" width="10.00390625" style="0" bestFit="1" customWidth="1"/>
    <col min="4" max="5" width="8.28125" style="0" bestFit="1" customWidth="1"/>
    <col min="6" max="6" width="9.8515625" style="0" bestFit="1" customWidth="1"/>
    <col min="7" max="7" width="9.28125" style="0" bestFit="1" customWidth="1"/>
    <col min="8" max="8" width="10.00390625" style="0" bestFit="1" customWidth="1"/>
    <col min="9" max="9" width="9.421875" style="0" bestFit="1" customWidth="1"/>
    <col min="10" max="11" width="14.7109375" style="0" bestFit="1" customWidth="1"/>
    <col min="12" max="13" width="14.140625" style="0" bestFit="1" customWidth="1"/>
    <col min="14" max="15" width="18.57421875" style="0" bestFit="1" customWidth="1"/>
    <col min="16" max="17" width="18.7109375" style="0" bestFit="1" customWidth="1"/>
    <col min="18" max="19" width="18.00390625" style="0" bestFit="1" customWidth="1"/>
    <col min="20" max="21" width="18.140625" style="0" bestFit="1" customWidth="1"/>
    <col min="22" max="22" width="18.7109375" style="0" bestFit="1" customWidth="1"/>
  </cols>
  <sheetData>
    <row r="1" spans="1:21" ht="16.5">
      <c r="A1" s="20" t="s">
        <v>21</v>
      </c>
      <c r="B1" s="21" t="s">
        <v>22</v>
      </c>
      <c r="C1" s="22" t="s">
        <v>23</v>
      </c>
      <c r="D1" s="22" t="s">
        <v>24</v>
      </c>
      <c r="E1" s="22" t="s">
        <v>25</v>
      </c>
      <c r="F1" s="22" t="s">
        <v>26</v>
      </c>
      <c r="G1" s="22" t="s">
        <v>27</v>
      </c>
      <c r="H1" s="22" t="s">
        <v>28</v>
      </c>
      <c r="I1" s="22" t="s">
        <v>29</v>
      </c>
      <c r="J1" s="22" t="s">
        <v>30</v>
      </c>
      <c r="K1" s="22" t="s">
        <v>31</v>
      </c>
      <c r="L1" s="22" t="s">
        <v>32</v>
      </c>
      <c r="M1" s="22" t="s">
        <v>33</v>
      </c>
      <c r="N1" s="22" t="s">
        <v>34</v>
      </c>
      <c r="O1" s="22" t="s">
        <v>35</v>
      </c>
      <c r="P1" s="22" t="s">
        <v>36</v>
      </c>
      <c r="Q1" s="22" t="s">
        <v>37</v>
      </c>
      <c r="R1" s="22" t="s">
        <v>38</v>
      </c>
      <c r="S1" s="22" t="s">
        <v>39</v>
      </c>
      <c r="T1" s="22" t="s">
        <v>40</v>
      </c>
      <c r="U1" s="22" t="s">
        <v>41</v>
      </c>
    </row>
    <row r="2" spans="1:22" ht="13.5">
      <c r="A2" s="21" t="s">
        <v>22</v>
      </c>
      <c r="B2" s="16" t="s">
        <v>18</v>
      </c>
      <c r="C2" s="16">
        <f>1/39</f>
        <v>0.02564102564102564</v>
      </c>
      <c r="D2" s="16">
        <f>16/39</f>
        <v>0.41025641025641024</v>
      </c>
      <c r="E2" s="16">
        <f>16/39</f>
        <v>0.41025641025641024</v>
      </c>
      <c r="F2" s="16">
        <f>13/39</f>
        <v>0.3333333333333333</v>
      </c>
      <c r="G2" s="16">
        <f>17/39</f>
        <v>0.4358974358974359</v>
      </c>
      <c r="H2" s="16">
        <f>9/39</f>
        <v>0.23076923076923078</v>
      </c>
      <c r="I2" s="16">
        <f>9/39</f>
        <v>0.23076923076923078</v>
      </c>
      <c r="J2" s="16">
        <f>1/31</f>
        <v>0.03225806451612903</v>
      </c>
      <c r="K2" s="16">
        <f>0/30</f>
        <v>0</v>
      </c>
      <c r="L2" s="16">
        <f>1/34</f>
        <v>0.029411764705882353</v>
      </c>
      <c r="M2" s="16">
        <f>1/33</f>
        <v>0.030303030303030304</v>
      </c>
      <c r="N2" s="16">
        <f>1/30</f>
        <v>0.03333333333333333</v>
      </c>
      <c r="O2" s="16">
        <f>1/32</f>
        <v>0.03125</v>
      </c>
      <c r="P2" s="16">
        <f>1/31</f>
        <v>0.03225806451612903</v>
      </c>
      <c r="Q2" s="16">
        <f>1/36</f>
        <v>0.027777777777777776</v>
      </c>
      <c r="R2" s="16">
        <f>1/32</f>
        <v>0.03125</v>
      </c>
      <c r="S2" s="16">
        <f>1/33</f>
        <v>0.030303030303030304</v>
      </c>
      <c r="T2" s="16">
        <f>1/33</f>
        <v>0.030303030303030304</v>
      </c>
      <c r="U2" s="16">
        <f>1/33</f>
        <v>0.030303030303030304</v>
      </c>
      <c r="V2" s="21" t="s">
        <v>22</v>
      </c>
    </row>
    <row r="3" spans="1:22" ht="14.25">
      <c r="A3" s="22" t="s">
        <v>23</v>
      </c>
      <c r="B3" s="16">
        <f>38/39</f>
        <v>0.9743589743589743</v>
      </c>
      <c r="C3" s="16" t="s">
        <v>18</v>
      </c>
      <c r="D3" s="16">
        <f>34/39</f>
        <v>0.8717948717948718</v>
      </c>
      <c r="E3" s="16">
        <f>35/39</f>
        <v>0.8974358974358975</v>
      </c>
      <c r="F3" s="16">
        <f>32/39</f>
        <v>0.8205128205128205</v>
      </c>
      <c r="G3" s="16">
        <f>32/39</f>
        <v>0.8205128205128205</v>
      </c>
      <c r="H3" s="16">
        <f>29/39</f>
        <v>0.7435897435897436</v>
      </c>
      <c r="I3" s="16">
        <f>29/39</f>
        <v>0.7435897435897436</v>
      </c>
      <c r="J3" s="16">
        <f>3/31</f>
        <v>0.0967741935483871</v>
      </c>
      <c r="K3" s="16">
        <f>5/30</f>
        <v>0.16666666666666666</v>
      </c>
      <c r="L3" s="16">
        <f>3/34</f>
        <v>0.08823529411764706</v>
      </c>
      <c r="M3" s="16">
        <f>2/33</f>
        <v>0.06060606060606061</v>
      </c>
      <c r="N3" s="16">
        <f>3/30</f>
        <v>0.1</v>
      </c>
      <c r="O3" s="16">
        <f>2/32</f>
        <v>0.0625</v>
      </c>
      <c r="P3" s="16">
        <f>2/31</f>
        <v>0.06451612903225806</v>
      </c>
      <c r="Q3" s="16">
        <f>1/36</f>
        <v>0.027777777777777776</v>
      </c>
      <c r="R3" s="16">
        <f>2/32</f>
        <v>0.0625</v>
      </c>
      <c r="S3" s="16">
        <f>3/33</f>
        <v>0.09090909090909091</v>
      </c>
      <c r="T3" s="16">
        <f>2/33</f>
        <v>0.06060606060606061</v>
      </c>
      <c r="U3" s="16">
        <f>1/33</f>
        <v>0.030303030303030304</v>
      </c>
      <c r="V3" s="22" t="s">
        <v>23</v>
      </c>
    </row>
    <row r="4" spans="1:22" ht="14.25">
      <c r="A4" s="22" t="s">
        <v>24</v>
      </c>
      <c r="B4" s="16">
        <f>23/39</f>
        <v>0.5897435897435898</v>
      </c>
      <c r="C4" s="16">
        <f>5/39</f>
        <v>0.1282051282051282</v>
      </c>
      <c r="D4" s="16" t="s">
        <v>18</v>
      </c>
      <c r="E4" s="16">
        <f>28/39</f>
        <v>0.717948717948718</v>
      </c>
      <c r="F4" s="16">
        <f>16/39</f>
        <v>0.41025641025641024</v>
      </c>
      <c r="G4" s="16">
        <f>12/39</f>
        <v>0.3076923076923077</v>
      </c>
      <c r="H4" s="16">
        <f>8/39</f>
        <v>0.20512820512820512</v>
      </c>
      <c r="I4" s="16">
        <f>7/39</f>
        <v>0.1794871794871795</v>
      </c>
      <c r="J4" s="16">
        <f>1/31</f>
        <v>0.03225806451612903</v>
      </c>
      <c r="K4" s="16">
        <f>4/30</f>
        <v>0.13333333333333333</v>
      </c>
      <c r="L4" s="16">
        <f>1/34</f>
        <v>0.029411764705882353</v>
      </c>
      <c r="M4" s="16">
        <f>4/33</f>
        <v>0.12121212121212122</v>
      </c>
      <c r="N4" s="16">
        <f>1/30</f>
        <v>0.03333333333333333</v>
      </c>
      <c r="O4" s="16">
        <f>2/32</f>
        <v>0.0625</v>
      </c>
      <c r="P4" s="16">
        <f>3/31</f>
        <v>0.0967741935483871</v>
      </c>
      <c r="Q4" s="16">
        <f>0/36</f>
        <v>0</v>
      </c>
      <c r="R4" s="16">
        <f>2/32</f>
        <v>0.0625</v>
      </c>
      <c r="S4" s="16">
        <f>2/33</f>
        <v>0.06060606060606061</v>
      </c>
      <c r="T4" s="16">
        <f>4/33</f>
        <v>0.12121212121212122</v>
      </c>
      <c r="U4" s="16">
        <f>0/33</f>
        <v>0</v>
      </c>
      <c r="V4" s="22" t="s">
        <v>24</v>
      </c>
    </row>
    <row r="5" spans="1:22" ht="14.25">
      <c r="A5" s="22" t="s">
        <v>25</v>
      </c>
      <c r="B5" s="16">
        <f>23/39</f>
        <v>0.5897435897435898</v>
      </c>
      <c r="C5" s="16">
        <f>4/39</f>
        <v>0.10256410256410256</v>
      </c>
      <c r="D5" s="16">
        <f>11/39</f>
        <v>0.28205128205128205</v>
      </c>
      <c r="E5" s="16" t="s">
        <v>18</v>
      </c>
      <c r="F5" s="16">
        <f>13/39</f>
        <v>0.3333333333333333</v>
      </c>
      <c r="G5" s="16">
        <f>11/39</f>
        <v>0.28205128205128205</v>
      </c>
      <c r="H5" s="16">
        <f>9/39</f>
        <v>0.23076923076923078</v>
      </c>
      <c r="I5" s="16">
        <f>5/39</f>
        <v>0.1282051282051282</v>
      </c>
      <c r="J5" s="16">
        <f>1/31</f>
        <v>0.03225806451612903</v>
      </c>
      <c r="K5" s="16">
        <f>3/30</f>
        <v>0.1</v>
      </c>
      <c r="L5" s="16">
        <f>1/34</f>
        <v>0.029411764705882353</v>
      </c>
      <c r="M5" s="16">
        <f>3/33</f>
        <v>0.09090909090909091</v>
      </c>
      <c r="N5" s="16">
        <f>1/30</f>
        <v>0.03333333333333333</v>
      </c>
      <c r="O5" s="16">
        <f>1/32</f>
        <v>0.03125</v>
      </c>
      <c r="P5" s="16">
        <f>3/31</f>
        <v>0.0967741935483871</v>
      </c>
      <c r="Q5" s="16">
        <f>0/36</f>
        <v>0</v>
      </c>
      <c r="R5" s="16">
        <f>2/32</f>
        <v>0.0625</v>
      </c>
      <c r="S5" s="16">
        <f>1/33</f>
        <v>0.030303030303030304</v>
      </c>
      <c r="T5" s="16">
        <f>3/33</f>
        <v>0.09090909090909091</v>
      </c>
      <c r="U5" s="16">
        <f>0/33</f>
        <v>0</v>
      </c>
      <c r="V5" s="22" t="s">
        <v>25</v>
      </c>
    </row>
    <row r="6" spans="1:22" ht="14.25">
      <c r="A6" s="22" t="s">
        <v>26</v>
      </c>
      <c r="B6" s="16">
        <f>26/39</f>
        <v>0.6666666666666666</v>
      </c>
      <c r="C6" s="16">
        <f>7/39</f>
        <v>0.1794871794871795</v>
      </c>
      <c r="D6" s="16">
        <f>23/39</f>
        <v>0.5897435897435898</v>
      </c>
      <c r="E6" s="16">
        <f>26/39</f>
        <v>0.6666666666666666</v>
      </c>
      <c r="F6" s="16" t="s">
        <v>18</v>
      </c>
      <c r="G6" s="16">
        <f>11/39</f>
        <v>0.28205128205128205</v>
      </c>
      <c r="H6" s="16">
        <f>6/39</f>
        <v>0.15384615384615385</v>
      </c>
      <c r="I6" s="16">
        <f>7/39</f>
        <v>0.1794871794871795</v>
      </c>
      <c r="J6" s="16">
        <f>3/31</f>
        <v>0.0967741935483871</v>
      </c>
      <c r="K6" s="16">
        <f>6/30</f>
        <v>0.2</v>
      </c>
      <c r="L6" s="16">
        <f>3/34</f>
        <v>0.08823529411764706</v>
      </c>
      <c r="M6" s="16">
        <f>5/33</f>
        <v>0.15151515151515152</v>
      </c>
      <c r="N6" s="16">
        <f>2/30</f>
        <v>0.06666666666666667</v>
      </c>
      <c r="O6" s="16">
        <f>4/32</f>
        <v>0.125</v>
      </c>
      <c r="P6" s="16">
        <f>4/31</f>
        <v>0.12903225806451613</v>
      </c>
      <c r="Q6" s="16">
        <f>1/36</f>
        <v>0.027777777777777776</v>
      </c>
      <c r="R6" s="16">
        <f>2/32</f>
        <v>0.0625</v>
      </c>
      <c r="S6" s="16">
        <f>4/33</f>
        <v>0.12121212121212122</v>
      </c>
      <c r="T6" s="16">
        <f>5/33</f>
        <v>0.15151515151515152</v>
      </c>
      <c r="U6" s="16">
        <f>1/33</f>
        <v>0.030303030303030304</v>
      </c>
      <c r="V6" s="22" t="s">
        <v>26</v>
      </c>
    </row>
    <row r="7" spans="1:22" ht="14.25">
      <c r="A7" s="22" t="s">
        <v>27</v>
      </c>
      <c r="B7" s="16">
        <f>22/39</f>
        <v>0.5641025641025641</v>
      </c>
      <c r="C7" s="16">
        <f>7/39</f>
        <v>0.1794871794871795</v>
      </c>
      <c r="D7" s="16">
        <f>27/39</f>
        <v>0.6923076923076923</v>
      </c>
      <c r="E7" s="16">
        <f>28/39</f>
        <v>0.717948717948718</v>
      </c>
      <c r="F7" s="16">
        <f>28/39</f>
        <v>0.717948717948718</v>
      </c>
      <c r="G7" s="16" t="s">
        <v>18</v>
      </c>
      <c r="H7" s="16">
        <f>10/39</f>
        <v>0.2564102564102564</v>
      </c>
      <c r="I7" s="16">
        <f>7/39</f>
        <v>0.1794871794871795</v>
      </c>
      <c r="J7" s="16">
        <f>4/31</f>
        <v>0.12903225806451613</v>
      </c>
      <c r="K7" s="16">
        <f>5/30</f>
        <v>0.16666666666666666</v>
      </c>
      <c r="L7" s="16">
        <f>5/34</f>
        <v>0.14705882352941177</v>
      </c>
      <c r="M7" s="16">
        <f>5/33</f>
        <v>0.15151515151515152</v>
      </c>
      <c r="N7" s="16">
        <f>4/30</f>
        <v>0.13333333333333333</v>
      </c>
      <c r="O7" s="16">
        <f>7/32</f>
        <v>0.21875</v>
      </c>
      <c r="P7" s="16">
        <f>6/31</f>
        <v>0.1935483870967742</v>
      </c>
      <c r="Q7" s="16">
        <f>4/36</f>
        <v>0.1111111111111111</v>
      </c>
      <c r="R7" s="16">
        <f>3/32</f>
        <v>0.09375</v>
      </c>
      <c r="S7" s="16">
        <f>6/33</f>
        <v>0.18181818181818182</v>
      </c>
      <c r="T7" s="16">
        <f>5/33</f>
        <v>0.15151515151515152</v>
      </c>
      <c r="U7" s="16">
        <f>4/33</f>
        <v>0.12121212121212122</v>
      </c>
      <c r="V7" s="22" t="s">
        <v>27</v>
      </c>
    </row>
    <row r="8" spans="1:22" ht="14.25">
      <c r="A8" s="22" t="s">
        <v>28</v>
      </c>
      <c r="B8" s="16">
        <f>30/39</f>
        <v>0.7692307692307693</v>
      </c>
      <c r="C8" s="16">
        <f>10/39</f>
        <v>0.2564102564102564</v>
      </c>
      <c r="D8" s="16">
        <f>31/39</f>
        <v>0.7948717948717948</v>
      </c>
      <c r="E8" s="16">
        <f>30/39</f>
        <v>0.7692307692307693</v>
      </c>
      <c r="F8" s="16">
        <f>33/39</f>
        <v>0.8461538461538461</v>
      </c>
      <c r="G8" s="16">
        <f>29/39</f>
        <v>0.7435897435897436</v>
      </c>
      <c r="H8" s="16" t="s">
        <v>18</v>
      </c>
      <c r="I8" s="16">
        <f>14/39</f>
        <v>0.358974358974359</v>
      </c>
      <c r="J8" s="16">
        <f>5/31</f>
        <v>0.16129032258064516</v>
      </c>
      <c r="K8" s="16">
        <f>8/30</f>
        <v>0.26666666666666666</v>
      </c>
      <c r="L8" s="16">
        <f>5/34</f>
        <v>0.14705882352941177</v>
      </c>
      <c r="M8" s="16">
        <f>8/33</f>
        <v>0.24242424242424243</v>
      </c>
      <c r="N8" s="16">
        <f>3/30</f>
        <v>0.1</v>
      </c>
      <c r="O8" s="16">
        <f>7/32</f>
        <v>0.21875</v>
      </c>
      <c r="P8" s="16">
        <f>7/31</f>
        <v>0.22580645161290322</v>
      </c>
      <c r="Q8" s="16">
        <f>5/36</f>
        <v>0.1388888888888889</v>
      </c>
      <c r="R8" s="16">
        <f>3/32</f>
        <v>0.09375</v>
      </c>
      <c r="S8" s="16">
        <f>8/33</f>
        <v>0.24242424242424243</v>
      </c>
      <c r="T8" s="16">
        <f>8/33</f>
        <v>0.24242424242424243</v>
      </c>
      <c r="U8" s="16">
        <f>5/33</f>
        <v>0.15151515151515152</v>
      </c>
      <c r="V8" s="22" t="s">
        <v>28</v>
      </c>
    </row>
    <row r="9" spans="1:22" ht="14.25">
      <c r="A9" s="22" t="s">
        <v>29</v>
      </c>
      <c r="B9" s="16">
        <f>30/39</f>
        <v>0.7692307692307693</v>
      </c>
      <c r="C9" s="16">
        <f>10/39</f>
        <v>0.2564102564102564</v>
      </c>
      <c r="D9" s="16">
        <f>32/39</f>
        <v>0.8205128205128205</v>
      </c>
      <c r="E9" s="16">
        <f>34/39</f>
        <v>0.8717948717948718</v>
      </c>
      <c r="F9" s="16">
        <f>32/39</f>
        <v>0.8205128205128205</v>
      </c>
      <c r="G9" s="16">
        <f>32/39</f>
        <v>0.8205128205128205</v>
      </c>
      <c r="H9" s="16">
        <f>25/39</f>
        <v>0.6410256410256411</v>
      </c>
      <c r="I9" s="16" t="s">
        <v>18</v>
      </c>
      <c r="J9" s="16">
        <f>5/31</f>
        <v>0.16129032258064516</v>
      </c>
      <c r="K9" s="16">
        <f>7/30</f>
        <v>0.23333333333333334</v>
      </c>
      <c r="L9" s="16">
        <f>6/34</f>
        <v>0.17647058823529413</v>
      </c>
      <c r="M9" s="16">
        <f>7/33</f>
        <v>0.21212121212121213</v>
      </c>
      <c r="N9" s="16">
        <f>4/30</f>
        <v>0.13333333333333333</v>
      </c>
      <c r="O9" s="16">
        <f>7/32</f>
        <v>0.21875</v>
      </c>
      <c r="P9" s="16">
        <f>6/31</f>
        <v>0.1935483870967742</v>
      </c>
      <c r="Q9" s="16">
        <f>5/36</f>
        <v>0.1388888888888889</v>
      </c>
      <c r="R9" s="16">
        <f>3/32</f>
        <v>0.09375</v>
      </c>
      <c r="S9" s="16">
        <f>7/33</f>
        <v>0.21212121212121213</v>
      </c>
      <c r="T9" s="16">
        <f>5/33</f>
        <v>0.15151515151515152</v>
      </c>
      <c r="U9" s="16">
        <f>5/33</f>
        <v>0.15151515151515152</v>
      </c>
      <c r="V9" s="22" t="s">
        <v>29</v>
      </c>
    </row>
    <row r="10" spans="1:22" ht="16.5">
      <c r="A10" s="22" t="s">
        <v>30</v>
      </c>
      <c r="B10" s="16">
        <f>30/31</f>
        <v>0.967741935483871</v>
      </c>
      <c r="C10" s="16">
        <f>28/31</f>
        <v>0.9032258064516129</v>
      </c>
      <c r="D10" s="16">
        <f>30/31</f>
        <v>0.967741935483871</v>
      </c>
      <c r="E10" s="16">
        <f>30/31</f>
        <v>0.967741935483871</v>
      </c>
      <c r="F10" s="16">
        <f>28/31</f>
        <v>0.9032258064516129</v>
      </c>
      <c r="G10" s="16">
        <f>27/31</f>
        <v>0.8709677419354839</v>
      </c>
      <c r="H10" s="16">
        <f>26/31</f>
        <v>0.8387096774193549</v>
      </c>
      <c r="I10" s="16">
        <f>26/31</f>
        <v>0.8387096774193549</v>
      </c>
      <c r="J10" s="16" t="s">
        <v>18</v>
      </c>
      <c r="K10" s="16">
        <f>14/22</f>
        <v>0.6363636363636364</v>
      </c>
      <c r="L10" s="16">
        <f>14/31</f>
        <v>0.45161290322580644</v>
      </c>
      <c r="M10" s="16">
        <f>21/25</f>
        <v>0.84</v>
      </c>
      <c r="N10" s="16">
        <f>15/23</f>
        <v>0.6521739130434783</v>
      </c>
      <c r="O10" s="16">
        <f>10/27</f>
        <v>0.37037037037037035</v>
      </c>
      <c r="P10" s="16">
        <f>20/25</f>
        <v>0.8</v>
      </c>
      <c r="Q10" s="16">
        <f>1/29</f>
        <v>0.034482758620689655</v>
      </c>
      <c r="R10" s="16">
        <f>20/26</f>
        <v>0.7692307692307693</v>
      </c>
      <c r="S10" s="16">
        <f>12/28</f>
        <v>0.42857142857142855</v>
      </c>
      <c r="T10" s="16">
        <f>20/25</f>
        <v>0.8</v>
      </c>
      <c r="U10" s="16">
        <f>2/27</f>
        <v>0.07407407407407407</v>
      </c>
      <c r="V10" s="22" t="s">
        <v>30</v>
      </c>
    </row>
    <row r="11" spans="1:22" ht="16.5">
      <c r="A11" s="22" t="s">
        <v>31</v>
      </c>
      <c r="B11" s="16">
        <f>30/30</f>
        <v>1</v>
      </c>
      <c r="C11" s="16">
        <f>25/30</f>
        <v>0.8333333333333334</v>
      </c>
      <c r="D11" s="16">
        <f>26/30</f>
        <v>0.8666666666666667</v>
      </c>
      <c r="E11" s="16">
        <f>27/30</f>
        <v>0.9</v>
      </c>
      <c r="F11" s="16">
        <f>24/30</f>
        <v>0.8</v>
      </c>
      <c r="G11" s="16">
        <f>25/30</f>
        <v>0.8333333333333334</v>
      </c>
      <c r="H11" s="16">
        <f>22/30</f>
        <v>0.7333333333333333</v>
      </c>
      <c r="I11" s="16">
        <f>23/30</f>
        <v>0.7666666666666667</v>
      </c>
      <c r="J11" s="16">
        <f>8/22</f>
        <v>0.36363636363636365</v>
      </c>
      <c r="K11" s="16" t="s">
        <v>18</v>
      </c>
      <c r="L11" s="16">
        <f>6/25</f>
        <v>0.24</v>
      </c>
      <c r="M11" s="16">
        <f>25/30</f>
        <v>0.8333333333333334</v>
      </c>
      <c r="N11" s="16">
        <f>9/25</f>
        <v>0.36</v>
      </c>
      <c r="O11" s="16">
        <f>4/24</f>
        <v>0.16666666666666666</v>
      </c>
      <c r="P11" s="16">
        <f>18/24</f>
        <v>0.75</v>
      </c>
      <c r="Q11" s="16">
        <f>2/27</f>
        <v>0.07407407407407407</v>
      </c>
      <c r="R11" s="16">
        <f>14/28</f>
        <v>0.5</v>
      </c>
      <c r="S11" s="16">
        <f>5/25</f>
        <v>0.2</v>
      </c>
      <c r="T11" s="16">
        <f>22/28</f>
        <v>0.7857142857142857</v>
      </c>
      <c r="U11" s="16">
        <f>2/24</f>
        <v>0.08333333333333333</v>
      </c>
      <c r="V11" s="22" t="s">
        <v>31</v>
      </c>
    </row>
    <row r="12" spans="1:22" ht="16.5">
      <c r="A12" s="22" t="s">
        <v>32</v>
      </c>
      <c r="B12" s="16">
        <f>33/34</f>
        <v>0.9705882352941176</v>
      </c>
      <c r="C12" s="16">
        <f>31/34</f>
        <v>0.9117647058823529</v>
      </c>
      <c r="D12" s="16">
        <f>33/34</f>
        <v>0.9705882352941176</v>
      </c>
      <c r="E12" s="16">
        <f>33/34</f>
        <v>0.9705882352941176</v>
      </c>
      <c r="F12" s="16">
        <f>31/34</f>
        <v>0.9117647058823529</v>
      </c>
      <c r="G12" s="16">
        <f>29/34</f>
        <v>0.8529411764705882</v>
      </c>
      <c r="H12" s="16">
        <f>29/34</f>
        <v>0.8529411764705882</v>
      </c>
      <c r="I12" s="16">
        <f>28/34</f>
        <v>0.8235294117647058</v>
      </c>
      <c r="J12" s="16">
        <f>17/31</f>
        <v>0.5483870967741935</v>
      </c>
      <c r="K12" s="16">
        <f>19/25</f>
        <v>0.76</v>
      </c>
      <c r="L12" s="16" t="s">
        <v>18</v>
      </c>
      <c r="M12" s="16">
        <f>24/28</f>
        <v>0.8571428571428571</v>
      </c>
      <c r="N12" s="16">
        <f>16/26</f>
        <v>0.6153846153846154</v>
      </c>
      <c r="O12" s="16">
        <f>10/30</f>
        <v>0.3333333333333333</v>
      </c>
      <c r="P12" s="16">
        <f>22/27</f>
        <v>0.8148148148148148</v>
      </c>
      <c r="Q12" s="16">
        <f>4/31</f>
        <v>0.12903225806451613</v>
      </c>
      <c r="R12" s="16">
        <f>23/28</f>
        <v>0.8214285714285714</v>
      </c>
      <c r="S12" s="16">
        <f>15/31</f>
        <v>0.4838709677419355</v>
      </c>
      <c r="T12" s="16">
        <f>23/28</f>
        <v>0.8214285714285714</v>
      </c>
      <c r="U12" s="16">
        <f>2/30</f>
        <v>0.06666666666666667</v>
      </c>
      <c r="V12" s="22" t="s">
        <v>32</v>
      </c>
    </row>
    <row r="13" spans="1:22" ht="16.5">
      <c r="A13" s="22" t="s">
        <v>33</v>
      </c>
      <c r="B13" s="16">
        <f>32/33</f>
        <v>0.9696969696969697</v>
      </c>
      <c r="C13" s="16">
        <f>31/33</f>
        <v>0.9393939393939394</v>
      </c>
      <c r="D13" s="16">
        <f>29/33</f>
        <v>0.8787878787878788</v>
      </c>
      <c r="E13" s="16">
        <f>30/33</f>
        <v>0.9090909090909091</v>
      </c>
      <c r="F13" s="16">
        <f>28/33</f>
        <v>0.8484848484848485</v>
      </c>
      <c r="G13" s="16">
        <f>28/33</f>
        <v>0.8484848484848485</v>
      </c>
      <c r="H13" s="16">
        <f>25/33</f>
        <v>0.7575757575757576</v>
      </c>
      <c r="I13" s="16">
        <f>26/33</f>
        <v>0.7878787878787878</v>
      </c>
      <c r="J13" s="16">
        <f>4/25</f>
        <v>0.16</v>
      </c>
      <c r="K13" s="16">
        <f>5/30</f>
        <v>0.16666666666666666</v>
      </c>
      <c r="L13" s="16">
        <f>4/28</f>
        <v>0.14285714285714285</v>
      </c>
      <c r="M13" s="16" t="s">
        <v>18</v>
      </c>
      <c r="N13" s="16">
        <f>6/27</f>
        <v>0.2222222222222222</v>
      </c>
      <c r="O13" s="16">
        <f>2/27</f>
        <v>0.07407407407407407</v>
      </c>
      <c r="P13" s="16">
        <f>18/27</f>
        <v>0.6666666666666666</v>
      </c>
      <c r="Q13" s="16">
        <f>2/30</f>
        <v>0.06666666666666667</v>
      </c>
      <c r="R13" s="16">
        <f>10/30</f>
        <v>0.3333333333333333</v>
      </c>
      <c r="S13" s="16">
        <f>4/28</f>
        <v>0.14285714285714285</v>
      </c>
      <c r="T13" s="16">
        <f>18/30</f>
        <v>0.6</v>
      </c>
      <c r="U13" s="16">
        <f>1/27</f>
        <v>0.037037037037037035</v>
      </c>
      <c r="V13" s="22" t="s">
        <v>33</v>
      </c>
    </row>
    <row r="14" spans="1:22" ht="16.5">
      <c r="A14" s="22" t="s">
        <v>34</v>
      </c>
      <c r="B14" s="16">
        <f>29/30</f>
        <v>0.9666666666666667</v>
      </c>
      <c r="C14" s="16">
        <f>27/30</f>
        <v>0.9</v>
      </c>
      <c r="D14" s="16">
        <f>29/30</f>
        <v>0.9666666666666667</v>
      </c>
      <c r="E14" s="16">
        <f>29/30</f>
        <v>0.9666666666666667</v>
      </c>
      <c r="F14" s="16">
        <f>28/30</f>
        <v>0.9333333333333333</v>
      </c>
      <c r="G14" s="16">
        <f>26/30</f>
        <v>0.8666666666666667</v>
      </c>
      <c r="H14" s="16">
        <f>27/30</f>
        <v>0.9</v>
      </c>
      <c r="I14" s="16">
        <f>26/30</f>
        <v>0.8666666666666667</v>
      </c>
      <c r="J14" s="16">
        <f>8/23</f>
        <v>0.34782608695652173</v>
      </c>
      <c r="K14" s="16">
        <f>16/25</f>
        <v>0.64</v>
      </c>
      <c r="L14" s="16">
        <f>10/26</f>
        <v>0.38461538461538464</v>
      </c>
      <c r="M14" s="16">
        <f>21/27</f>
        <v>0.7777777777777778</v>
      </c>
      <c r="N14" s="16" t="s">
        <v>18</v>
      </c>
      <c r="O14" s="16">
        <f>6/23</f>
        <v>0.2608695652173913</v>
      </c>
      <c r="P14" s="16">
        <f>21/26</f>
        <v>0.8076923076923077</v>
      </c>
      <c r="Q14" s="16">
        <f>3/27</f>
        <v>0.1111111111111111</v>
      </c>
      <c r="R14" s="16">
        <f>21/28</f>
        <v>0.75</v>
      </c>
      <c r="S14" s="16">
        <f>6/24</f>
        <v>0.25</v>
      </c>
      <c r="T14" s="16">
        <f>22/28</f>
        <v>0.7857142857142857</v>
      </c>
      <c r="U14" s="16">
        <f>1/25</f>
        <v>0.04</v>
      </c>
      <c r="V14" s="22" t="s">
        <v>34</v>
      </c>
    </row>
    <row r="15" spans="1:22" ht="16.5">
      <c r="A15" s="22" t="s">
        <v>35</v>
      </c>
      <c r="B15" s="16">
        <f>31/32</f>
        <v>0.96875</v>
      </c>
      <c r="C15" s="16">
        <f>30/32</f>
        <v>0.9375</v>
      </c>
      <c r="D15" s="16">
        <f>30/32</f>
        <v>0.9375</v>
      </c>
      <c r="E15" s="16">
        <f>31/32</f>
        <v>0.96875</v>
      </c>
      <c r="F15" s="16">
        <f>28/32</f>
        <v>0.875</v>
      </c>
      <c r="G15" s="16">
        <f>25/32</f>
        <v>0.78125</v>
      </c>
      <c r="H15" s="16">
        <f>25/32</f>
        <v>0.78125</v>
      </c>
      <c r="I15" s="16">
        <f>25/32</f>
        <v>0.78125</v>
      </c>
      <c r="J15" s="16">
        <f>17/27</f>
        <v>0.6296296296296297</v>
      </c>
      <c r="K15" s="16">
        <f>20/24</f>
        <v>0.8333333333333334</v>
      </c>
      <c r="L15" s="16">
        <f>20/30</f>
        <v>0.6666666666666666</v>
      </c>
      <c r="M15" s="16">
        <f>25/27</f>
        <v>0.9259259259259259</v>
      </c>
      <c r="N15" s="16">
        <f>17/23</f>
        <v>0.7391304347826086</v>
      </c>
      <c r="O15" s="16" t="s">
        <v>18</v>
      </c>
      <c r="P15" s="16">
        <f>23/25</f>
        <v>0.92</v>
      </c>
      <c r="Q15" s="16">
        <f>4/31</f>
        <v>0.12903225806451613</v>
      </c>
      <c r="R15" s="16">
        <f>22/25</f>
        <v>0.88</v>
      </c>
      <c r="S15" s="16">
        <f>18/32</f>
        <v>0.5625</v>
      </c>
      <c r="T15" s="16">
        <f>25/27</f>
        <v>0.9259259259259259</v>
      </c>
      <c r="U15" s="16">
        <f>3/30</f>
        <v>0.1</v>
      </c>
      <c r="V15" s="22" t="s">
        <v>35</v>
      </c>
    </row>
    <row r="16" spans="1:22" ht="16.5">
      <c r="A16" s="22" t="s">
        <v>36</v>
      </c>
      <c r="B16" s="16">
        <f>30/31</f>
        <v>0.967741935483871</v>
      </c>
      <c r="C16" s="16">
        <f>29/31</f>
        <v>0.9354838709677419</v>
      </c>
      <c r="D16" s="16">
        <f>28/31</f>
        <v>0.9032258064516129</v>
      </c>
      <c r="E16" s="16">
        <f>28/31</f>
        <v>0.9032258064516129</v>
      </c>
      <c r="F16" s="16">
        <f>27/31</f>
        <v>0.8709677419354839</v>
      </c>
      <c r="G16" s="16">
        <f>25/31</f>
        <v>0.8064516129032258</v>
      </c>
      <c r="H16" s="16">
        <f>24/31</f>
        <v>0.7741935483870968</v>
      </c>
      <c r="I16" s="16">
        <f>25/31</f>
        <v>0.8064516129032258</v>
      </c>
      <c r="J16" s="16">
        <f>5/25</f>
        <v>0.2</v>
      </c>
      <c r="K16" s="16">
        <f>6/24</f>
        <v>0.25</v>
      </c>
      <c r="L16" s="16">
        <f>5/27</f>
        <v>0.18518518518518517</v>
      </c>
      <c r="M16" s="16">
        <f>9/27</f>
        <v>0.3333333333333333</v>
      </c>
      <c r="N16" s="16">
        <f>5/26</f>
        <v>0.19230769230769232</v>
      </c>
      <c r="O16" s="16">
        <f>2/25</f>
        <v>0.08</v>
      </c>
      <c r="P16" s="16" t="s">
        <v>18</v>
      </c>
      <c r="Q16" s="16">
        <f>1/28</f>
        <v>0.03571428571428571</v>
      </c>
      <c r="R16" s="16">
        <f>2/26</f>
        <v>0.07692307692307693</v>
      </c>
      <c r="S16" s="16">
        <f>2/26</f>
        <v>0.07692307692307693</v>
      </c>
      <c r="T16" s="16">
        <f>11/27</f>
        <v>0.4074074074074074</v>
      </c>
      <c r="U16" s="16">
        <f>1/25</f>
        <v>0.04</v>
      </c>
      <c r="V16" s="22" t="s">
        <v>36</v>
      </c>
    </row>
    <row r="17" spans="1:22" ht="16.5">
      <c r="A17" s="22" t="s">
        <v>37</v>
      </c>
      <c r="B17" s="16">
        <f>35/36</f>
        <v>0.9722222222222222</v>
      </c>
      <c r="C17" s="16">
        <f>35/36</f>
        <v>0.9722222222222222</v>
      </c>
      <c r="D17" s="16">
        <f>36/36</f>
        <v>1</v>
      </c>
      <c r="E17" s="16">
        <f>36/36</f>
        <v>1</v>
      </c>
      <c r="F17" s="16">
        <f>35/36</f>
        <v>0.9722222222222222</v>
      </c>
      <c r="G17" s="16">
        <f>32/36</f>
        <v>0.8888888888888888</v>
      </c>
      <c r="H17" s="16">
        <f>31/36</f>
        <v>0.8611111111111112</v>
      </c>
      <c r="I17" s="16">
        <f>31/36</f>
        <v>0.8611111111111112</v>
      </c>
      <c r="J17" s="16">
        <f>28/29</f>
        <v>0.9655172413793104</v>
      </c>
      <c r="K17" s="16">
        <f>25/27</f>
        <v>0.9259259259259259</v>
      </c>
      <c r="L17" s="16">
        <f>27/31</f>
        <v>0.8709677419354839</v>
      </c>
      <c r="M17" s="16">
        <f>28/30</f>
        <v>0.9333333333333333</v>
      </c>
      <c r="N17" s="16">
        <f>24/27</f>
        <v>0.8888888888888888</v>
      </c>
      <c r="O17" s="16">
        <f>27/31</f>
        <v>0.8709677419354839</v>
      </c>
      <c r="P17" s="16">
        <f>27/28</f>
        <v>0.9642857142857143</v>
      </c>
      <c r="Q17" s="16" t="s">
        <v>18</v>
      </c>
      <c r="R17" s="16">
        <f>26/30</f>
        <v>0.8666666666666667</v>
      </c>
      <c r="S17" s="16">
        <f>28/31</f>
        <v>0.9032258064516129</v>
      </c>
      <c r="T17" s="16">
        <f>28/30</f>
        <v>0.9333333333333333</v>
      </c>
      <c r="U17" s="16">
        <f>2/32</f>
        <v>0.0625</v>
      </c>
      <c r="V17" s="22" t="s">
        <v>37</v>
      </c>
    </row>
    <row r="18" spans="1:22" ht="16.5">
      <c r="A18" s="22" t="s">
        <v>38</v>
      </c>
      <c r="B18" s="16">
        <f>31/32</f>
        <v>0.96875</v>
      </c>
      <c r="C18" s="16">
        <f>30/32</f>
        <v>0.9375</v>
      </c>
      <c r="D18" s="16">
        <f>30/32</f>
        <v>0.9375</v>
      </c>
      <c r="E18" s="16">
        <f>30/32</f>
        <v>0.9375</v>
      </c>
      <c r="F18" s="16">
        <f>30/32</f>
        <v>0.9375</v>
      </c>
      <c r="G18" s="16">
        <f>29/32</f>
        <v>0.90625</v>
      </c>
      <c r="H18" s="16">
        <f>29/32</f>
        <v>0.90625</v>
      </c>
      <c r="I18" s="16">
        <f>29/32</f>
        <v>0.90625</v>
      </c>
      <c r="J18" s="16">
        <f>6/26</f>
        <v>0.23076923076923078</v>
      </c>
      <c r="K18" s="16">
        <f>14/28</f>
        <v>0.5</v>
      </c>
      <c r="L18" s="16">
        <f>5/28</f>
        <v>0.17857142857142858</v>
      </c>
      <c r="M18" s="16">
        <f>20/30</f>
        <v>0.6666666666666666</v>
      </c>
      <c r="N18" s="16">
        <f>7/28</f>
        <v>0.25</v>
      </c>
      <c r="O18" s="16">
        <f>3/25</f>
        <v>0.12</v>
      </c>
      <c r="P18" s="16">
        <f>24/26</f>
        <v>0.9230769230769231</v>
      </c>
      <c r="Q18" s="16">
        <f>4/30</f>
        <v>0.13333333333333333</v>
      </c>
      <c r="R18" s="16" t="s">
        <v>18</v>
      </c>
      <c r="S18" s="16">
        <f>6/26</f>
        <v>0.23076923076923078</v>
      </c>
      <c r="T18" s="16">
        <f>26/30</f>
        <v>0.8666666666666667</v>
      </c>
      <c r="U18" s="16">
        <f>2/26</f>
        <v>0.07692307692307693</v>
      </c>
      <c r="V18" s="22" t="s">
        <v>38</v>
      </c>
    </row>
    <row r="19" spans="1:22" ht="16.5">
      <c r="A19" s="22" t="s">
        <v>39</v>
      </c>
      <c r="B19" s="16">
        <f>32/33</f>
        <v>0.9696969696969697</v>
      </c>
      <c r="C19" s="16">
        <f>30/33</f>
        <v>0.9090909090909091</v>
      </c>
      <c r="D19" s="16">
        <f>31/33</f>
        <v>0.9393939393939394</v>
      </c>
      <c r="E19" s="16">
        <f>32/33</f>
        <v>0.9696969696969697</v>
      </c>
      <c r="F19" s="16">
        <f>29/33</f>
        <v>0.8787878787878788</v>
      </c>
      <c r="G19" s="16">
        <f>27/33</f>
        <v>0.8181818181818182</v>
      </c>
      <c r="H19" s="16">
        <f>25/33</f>
        <v>0.7575757575757576</v>
      </c>
      <c r="I19" s="16">
        <f>26/33</f>
        <v>0.7878787878787878</v>
      </c>
      <c r="J19" s="16">
        <f>16/28</f>
        <v>0.5714285714285714</v>
      </c>
      <c r="K19" s="16">
        <f>20/25</f>
        <v>0.8</v>
      </c>
      <c r="L19" s="16">
        <f>16/31</f>
        <v>0.5161290322580645</v>
      </c>
      <c r="M19" s="16">
        <f>24/28</f>
        <v>0.8571428571428571</v>
      </c>
      <c r="N19" s="16">
        <f>18/24</f>
        <v>0.75</v>
      </c>
      <c r="O19" s="16">
        <f>14/32</f>
        <v>0.4375</v>
      </c>
      <c r="P19" s="16">
        <f>24/26</f>
        <v>0.9230769230769231</v>
      </c>
      <c r="Q19" s="16">
        <f>3/31</f>
        <v>0.0967741935483871</v>
      </c>
      <c r="R19" s="16">
        <f>20/26</f>
        <v>0.7692307692307693</v>
      </c>
      <c r="S19" s="16" t="s">
        <v>18</v>
      </c>
      <c r="T19" s="16">
        <f>24/28</f>
        <v>0.8571428571428571</v>
      </c>
      <c r="U19" s="16">
        <f>3/30</f>
        <v>0.1</v>
      </c>
      <c r="V19" s="22" t="s">
        <v>39</v>
      </c>
    </row>
    <row r="20" spans="1:22" ht="16.5">
      <c r="A20" s="22" t="s">
        <v>40</v>
      </c>
      <c r="B20" s="16">
        <f>32/33</f>
        <v>0.9696969696969697</v>
      </c>
      <c r="C20" s="16">
        <f>31/33</f>
        <v>0.9393939393939394</v>
      </c>
      <c r="D20" s="16">
        <f>29/33</f>
        <v>0.8787878787878788</v>
      </c>
      <c r="E20" s="16">
        <f>30/33</f>
        <v>0.9090909090909091</v>
      </c>
      <c r="F20" s="16">
        <f>28/33</f>
        <v>0.8484848484848485</v>
      </c>
      <c r="G20" s="16">
        <f>28/33</f>
        <v>0.8484848484848485</v>
      </c>
      <c r="H20" s="16">
        <f>25/33</f>
        <v>0.7575757575757576</v>
      </c>
      <c r="I20" s="16">
        <f>28/33</f>
        <v>0.8484848484848485</v>
      </c>
      <c r="J20" s="16">
        <f>5/25</f>
        <v>0.2</v>
      </c>
      <c r="K20" s="16">
        <f>6/28</f>
        <v>0.21428571428571427</v>
      </c>
      <c r="L20" s="16">
        <f>5/28</f>
        <v>0.17857142857142858</v>
      </c>
      <c r="M20" s="16">
        <f>12/30</f>
        <v>0.4</v>
      </c>
      <c r="N20" s="16">
        <f>6/28</f>
        <v>0.21428571428571427</v>
      </c>
      <c r="O20" s="16">
        <f>2/27</f>
        <v>0.07407407407407407</v>
      </c>
      <c r="P20" s="16">
        <f>16/27</f>
        <v>0.5925925925925926</v>
      </c>
      <c r="Q20" s="16">
        <f>2/30</f>
        <v>0.06666666666666667</v>
      </c>
      <c r="R20" s="16">
        <f>4/30</f>
        <v>0.13333333333333333</v>
      </c>
      <c r="S20" s="16">
        <f>4/28</f>
        <v>0.14285714285714285</v>
      </c>
      <c r="T20" s="16" t="s">
        <v>18</v>
      </c>
      <c r="U20" s="16">
        <f>1/27</f>
        <v>0.037037037037037035</v>
      </c>
      <c r="V20" s="22" t="s">
        <v>40</v>
      </c>
    </row>
    <row r="21" spans="1:22" ht="16.5">
      <c r="A21" s="22" t="s">
        <v>41</v>
      </c>
      <c r="B21" s="16">
        <f>32/33</f>
        <v>0.9696969696969697</v>
      </c>
      <c r="C21" s="16">
        <f>32/33</f>
        <v>0.9696969696969697</v>
      </c>
      <c r="D21" s="16">
        <f>33/33</f>
        <v>1</v>
      </c>
      <c r="E21" s="16">
        <f>33/33</f>
        <v>1</v>
      </c>
      <c r="F21" s="16">
        <f>32/33</f>
        <v>0.9696969696969697</v>
      </c>
      <c r="G21" s="16">
        <f>29/33</f>
        <v>0.8787878787878788</v>
      </c>
      <c r="H21" s="16">
        <f>28/33</f>
        <v>0.8484848484848485</v>
      </c>
      <c r="I21" s="16">
        <f>28/33</f>
        <v>0.8484848484848485</v>
      </c>
      <c r="J21" s="16">
        <f>25/27</f>
        <v>0.9259259259259259</v>
      </c>
      <c r="K21" s="16">
        <f>22/24</f>
        <v>0.9166666666666666</v>
      </c>
      <c r="L21" s="16">
        <f>28/30</f>
        <v>0.9333333333333333</v>
      </c>
      <c r="M21" s="16">
        <f>26/27</f>
        <v>0.9629629629629629</v>
      </c>
      <c r="N21" s="16">
        <f>24/25</f>
        <v>0.96</v>
      </c>
      <c r="O21" s="16">
        <f>27/30</f>
        <v>0.9</v>
      </c>
      <c r="P21" s="16">
        <f>24/25</f>
        <v>0.96</v>
      </c>
      <c r="Q21" s="16">
        <f>30/32</f>
        <v>0.9375</v>
      </c>
      <c r="R21" s="16">
        <f>24/26</f>
        <v>0.9230769230769231</v>
      </c>
      <c r="S21" s="16">
        <f>27/30</f>
        <v>0.9</v>
      </c>
      <c r="T21" s="16">
        <f>26/27</f>
        <v>0.9629629629629629</v>
      </c>
      <c r="U21" s="16" t="s">
        <v>18</v>
      </c>
      <c r="V21" s="22" t="s">
        <v>41</v>
      </c>
    </row>
  </sheetData>
  <sheetProtection/>
  <conditionalFormatting sqref="B2:U2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733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9.00390625" style="18" bestFit="1" customWidth="1"/>
    <col min="2" max="2" width="9.8515625" style="18" bestFit="1" customWidth="1"/>
    <col min="3" max="3" width="9.00390625" style="18" bestFit="1" customWidth="1"/>
    <col min="4" max="4" width="5.28125" style="18" bestFit="1" customWidth="1"/>
    <col min="5" max="5" width="9.28125" style="18" bestFit="1" customWidth="1"/>
    <col min="6" max="6" width="9.140625" style="18" bestFit="1" customWidth="1"/>
    <col min="7" max="7" width="9.421875" style="18" bestFit="1" customWidth="1"/>
    <col min="8" max="8" width="9.28125" style="18" bestFit="1" customWidth="1"/>
    <col min="9" max="10" width="13.421875" style="18" bestFit="1" customWidth="1"/>
    <col min="11" max="12" width="13.28125" style="18" bestFit="1" customWidth="1"/>
    <col min="13" max="14" width="17.421875" style="18" bestFit="1" customWidth="1"/>
    <col min="15" max="16" width="17.57421875" style="18" bestFit="1" customWidth="1"/>
    <col min="17" max="18" width="17.28125" style="18" bestFit="1" customWidth="1"/>
    <col min="19" max="20" width="17.421875" style="18" bestFit="1" customWidth="1"/>
  </cols>
  <sheetData>
    <row r="1" spans="1:20" ht="16.5">
      <c r="A1" s="13" t="s">
        <v>0</v>
      </c>
      <c r="B1" s="19" t="s">
        <v>1</v>
      </c>
      <c r="C1" s="19" t="s">
        <v>3</v>
      </c>
      <c r="D1" s="19" t="s">
        <v>2</v>
      </c>
      <c r="E1" s="19" t="s">
        <v>7</v>
      </c>
      <c r="F1" s="19" t="s">
        <v>6</v>
      </c>
      <c r="G1" s="19" t="s">
        <v>5</v>
      </c>
      <c r="H1" s="19" t="s">
        <v>4</v>
      </c>
      <c r="I1" s="19" t="s">
        <v>8</v>
      </c>
      <c r="J1" s="19" t="s">
        <v>9</v>
      </c>
      <c r="K1" s="19" t="s">
        <v>19</v>
      </c>
      <c r="L1" s="19" t="s">
        <v>20</v>
      </c>
      <c r="M1" s="19" t="s">
        <v>10</v>
      </c>
      <c r="N1" s="19" t="s">
        <v>11</v>
      </c>
      <c r="O1" s="19" t="s">
        <v>12</v>
      </c>
      <c r="P1" s="19" t="s">
        <v>13</v>
      </c>
      <c r="Q1" s="19" t="s">
        <v>14</v>
      </c>
      <c r="R1" s="19" t="s">
        <v>15</v>
      </c>
      <c r="S1" s="19" t="s">
        <v>16</v>
      </c>
      <c r="T1" s="19" t="s">
        <v>17</v>
      </c>
    </row>
    <row r="2" spans="1:20" ht="12.75">
      <c r="A2" s="3">
        <v>1938</v>
      </c>
      <c r="B2" s="14">
        <v>30</v>
      </c>
      <c r="C2" s="6">
        <v>1956</v>
      </c>
      <c r="D2" s="12">
        <v>2174</v>
      </c>
      <c r="E2" s="9">
        <v>581</v>
      </c>
      <c r="F2" s="10">
        <v>776</v>
      </c>
      <c r="G2" s="7">
        <v>760</v>
      </c>
      <c r="H2" s="10">
        <v>486</v>
      </c>
      <c r="I2" s="14">
        <v>18</v>
      </c>
      <c r="J2" s="14">
        <v>241</v>
      </c>
      <c r="K2" s="17">
        <v>19</v>
      </c>
      <c r="L2" s="18">
        <v>24</v>
      </c>
      <c r="M2" s="14">
        <v>82</v>
      </c>
      <c r="N2" s="14">
        <v>19</v>
      </c>
      <c r="O2" s="14">
        <v>26</v>
      </c>
      <c r="P2" s="14">
        <v>49</v>
      </c>
      <c r="Q2" s="14">
        <v>24</v>
      </c>
      <c r="R2" s="14">
        <v>20</v>
      </c>
      <c r="S2" s="14">
        <v>30</v>
      </c>
      <c r="T2" s="14">
        <v>38</v>
      </c>
    </row>
    <row r="3" spans="1:20" ht="12.75">
      <c r="A3" s="3"/>
      <c r="B3" s="14"/>
      <c r="C3" s="6"/>
      <c r="D3" s="12"/>
      <c r="E3" s="9"/>
      <c r="F3" s="10"/>
      <c r="G3" s="7"/>
      <c r="H3" s="10"/>
      <c r="I3" s="14"/>
      <c r="J3" s="14"/>
      <c r="M3" s="15"/>
      <c r="N3" s="14"/>
      <c r="O3" s="14"/>
      <c r="P3" s="14"/>
      <c r="Q3" s="14"/>
      <c r="R3" s="14"/>
      <c r="S3" s="14"/>
      <c r="T3" s="14"/>
    </row>
    <row r="4" spans="1:20" ht="12.75">
      <c r="A4" s="3"/>
      <c r="B4" s="14"/>
      <c r="C4" s="6"/>
      <c r="D4" s="12"/>
      <c r="E4" s="9"/>
      <c r="F4" s="10"/>
      <c r="G4" s="7"/>
      <c r="H4" s="10"/>
      <c r="I4" s="14"/>
      <c r="J4" s="14"/>
      <c r="M4" s="14"/>
      <c r="N4" s="14"/>
      <c r="O4" s="14"/>
      <c r="P4" s="14"/>
      <c r="Q4" s="14"/>
      <c r="R4" s="14"/>
      <c r="S4" s="14"/>
      <c r="T4" s="14"/>
    </row>
    <row r="5" spans="1:20" ht="12.75">
      <c r="A5" s="3">
        <v>4336</v>
      </c>
      <c r="B5" s="14">
        <v>191</v>
      </c>
      <c r="C5" s="6">
        <v>1686</v>
      </c>
      <c r="D5" s="12">
        <v>1791</v>
      </c>
      <c r="E5" s="9">
        <v>1317</v>
      </c>
      <c r="F5" s="10">
        <v>585</v>
      </c>
      <c r="G5" s="7">
        <v>415</v>
      </c>
      <c r="H5" s="10">
        <v>143</v>
      </c>
      <c r="I5" s="14">
        <v>119</v>
      </c>
      <c r="J5" s="14">
        <v>159</v>
      </c>
      <c r="K5" s="17">
        <v>115</v>
      </c>
      <c r="L5" s="18">
        <v>171</v>
      </c>
      <c r="M5" s="14">
        <v>136</v>
      </c>
      <c r="N5" s="14">
        <v>113</v>
      </c>
      <c r="O5" s="14">
        <v>172</v>
      </c>
      <c r="P5" s="14">
        <v>84</v>
      </c>
      <c r="Q5" s="14">
        <v>133</v>
      </c>
      <c r="R5" s="14">
        <v>117</v>
      </c>
      <c r="S5" s="14"/>
      <c r="T5" s="14">
        <v>66</v>
      </c>
    </row>
    <row r="6" spans="1:20" ht="12.75">
      <c r="A6" s="3"/>
      <c r="B6" s="14"/>
      <c r="C6" s="6"/>
      <c r="D6" s="12"/>
      <c r="E6" s="9"/>
      <c r="F6" s="10"/>
      <c r="G6" s="7"/>
      <c r="H6" s="10"/>
      <c r="I6" s="14"/>
      <c r="J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3">
        <v>8316</v>
      </c>
      <c r="B7" s="14">
        <v>275</v>
      </c>
      <c r="C7" s="6">
        <v>2684</v>
      </c>
      <c r="D7" s="12">
        <v>2821</v>
      </c>
      <c r="E7" s="9">
        <v>4626</v>
      </c>
      <c r="F7" s="10">
        <v>4057</v>
      </c>
      <c r="G7" s="7">
        <v>3134</v>
      </c>
      <c r="H7" s="10">
        <v>2712</v>
      </c>
      <c r="I7" s="14">
        <v>167</v>
      </c>
      <c r="J7" s="14">
        <v>226</v>
      </c>
      <c r="K7" s="17">
        <v>163</v>
      </c>
      <c r="L7" s="18">
        <v>256</v>
      </c>
      <c r="M7" s="14">
        <v>231</v>
      </c>
      <c r="N7" s="14"/>
      <c r="O7" s="14">
        <v>267</v>
      </c>
      <c r="P7" s="14"/>
      <c r="Q7" s="14">
        <v>255</v>
      </c>
      <c r="R7" s="14"/>
      <c r="S7" s="14">
        <v>266</v>
      </c>
      <c r="T7" s="14"/>
    </row>
    <row r="8" spans="1:20" ht="12.75">
      <c r="A8" s="3">
        <v>1399</v>
      </c>
      <c r="B8" s="14">
        <v>101</v>
      </c>
      <c r="C8" s="6">
        <v>3778</v>
      </c>
      <c r="D8" s="12">
        <v>3978</v>
      </c>
      <c r="E8" s="9">
        <v>936</v>
      </c>
      <c r="F8" s="10">
        <v>3561</v>
      </c>
      <c r="G8" s="7">
        <v>309</v>
      </c>
      <c r="H8" s="10">
        <v>1391</v>
      </c>
      <c r="I8" s="14">
        <v>71</v>
      </c>
      <c r="J8" s="14">
        <v>65</v>
      </c>
      <c r="K8" s="17">
        <v>70</v>
      </c>
      <c r="L8" s="18">
        <v>80</v>
      </c>
      <c r="M8" s="14">
        <v>151</v>
      </c>
      <c r="N8" s="14">
        <v>58</v>
      </c>
      <c r="O8" s="14">
        <v>197</v>
      </c>
      <c r="P8" s="14">
        <v>50</v>
      </c>
      <c r="Q8" s="14">
        <v>97</v>
      </c>
      <c r="R8" s="14">
        <v>56</v>
      </c>
      <c r="S8" s="14">
        <v>101</v>
      </c>
      <c r="T8" s="14">
        <v>57</v>
      </c>
    </row>
    <row r="9" spans="1:8" ht="12.75">
      <c r="A9" s="1"/>
      <c r="C9" s="4"/>
      <c r="D9" s="12"/>
      <c r="E9" s="9"/>
      <c r="F9" s="10"/>
      <c r="G9" s="7"/>
      <c r="H9" s="10"/>
    </row>
    <row r="10" spans="1:8" ht="12.75">
      <c r="A10" s="1"/>
      <c r="C10" s="4"/>
      <c r="D10" s="12"/>
      <c r="E10" s="9"/>
      <c r="F10" s="10"/>
      <c r="G10" s="7"/>
      <c r="H10" s="10"/>
    </row>
    <row r="11" spans="1:20" ht="12.75">
      <c r="A11" s="1">
        <v>6340</v>
      </c>
      <c r="B11" s="14">
        <v>146</v>
      </c>
      <c r="C11" s="4">
        <v>603</v>
      </c>
      <c r="D11" s="12">
        <v>658</v>
      </c>
      <c r="E11" s="9">
        <v>764</v>
      </c>
      <c r="F11" s="10">
        <v>479</v>
      </c>
      <c r="G11" s="7">
        <v>1255</v>
      </c>
      <c r="H11" s="10">
        <v>1393</v>
      </c>
      <c r="I11" s="14">
        <v>91</v>
      </c>
      <c r="J11" s="14">
        <v>117</v>
      </c>
      <c r="K11" s="17">
        <v>93</v>
      </c>
      <c r="L11" s="18">
        <v>128</v>
      </c>
      <c r="M11" s="14"/>
      <c r="N11" s="14">
        <v>91</v>
      </c>
      <c r="O11" s="14">
        <v>138</v>
      </c>
      <c r="P11" s="14">
        <v>78</v>
      </c>
      <c r="Q11" s="14">
        <v>426</v>
      </c>
      <c r="R11" s="14">
        <v>91</v>
      </c>
      <c r="S11" s="14">
        <v>128</v>
      </c>
      <c r="T11" s="14"/>
    </row>
    <row r="12" spans="1:8" ht="12.75">
      <c r="A12" s="1"/>
      <c r="C12" s="4"/>
      <c r="D12" s="12"/>
      <c r="E12" s="9"/>
      <c r="F12" s="10"/>
      <c r="G12" s="7"/>
      <c r="H12" s="10"/>
    </row>
    <row r="13" spans="1:8" ht="12.75">
      <c r="A13" s="1"/>
      <c r="C13" s="4"/>
      <c r="D13" s="12"/>
      <c r="E13" s="9"/>
      <c r="F13" s="10"/>
      <c r="G13" s="7"/>
      <c r="H13" s="10"/>
    </row>
    <row r="14" spans="1:8" ht="12.75">
      <c r="A14" s="1"/>
      <c r="C14" s="4"/>
      <c r="D14" s="12"/>
      <c r="E14" s="9"/>
      <c r="F14" s="10"/>
      <c r="G14" s="7"/>
      <c r="H14" s="10"/>
    </row>
    <row r="15" spans="1:8" ht="12.75">
      <c r="A15" s="1">
        <v>2792</v>
      </c>
      <c r="C15" s="4"/>
      <c r="D15" s="12"/>
      <c r="E15" s="9"/>
      <c r="F15" s="10"/>
      <c r="G15" s="7"/>
      <c r="H15" s="10"/>
    </row>
    <row r="16" spans="1:8" ht="12.75">
      <c r="A16" s="1"/>
      <c r="C16" s="4"/>
      <c r="D16" s="12"/>
      <c r="E16" s="9"/>
      <c r="F16" s="10"/>
      <c r="G16" s="7"/>
      <c r="H16" s="10"/>
    </row>
    <row r="17" spans="1:20" ht="12.75">
      <c r="A17" s="1">
        <v>2656</v>
      </c>
      <c r="B17" s="14">
        <v>251</v>
      </c>
      <c r="C17" s="4">
        <v>2901</v>
      </c>
      <c r="D17" s="12">
        <v>4027</v>
      </c>
      <c r="E17" s="9">
        <v>757</v>
      </c>
      <c r="F17" s="10">
        <v>476</v>
      </c>
      <c r="G17" s="7">
        <v>496</v>
      </c>
      <c r="H17" s="10">
        <v>372</v>
      </c>
      <c r="I17" s="14">
        <v>156</v>
      </c>
      <c r="J17" s="14">
        <v>205</v>
      </c>
      <c r="K17" s="17">
        <v>157</v>
      </c>
      <c r="L17" s="18">
        <v>224</v>
      </c>
      <c r="M17" s="14">
        <v>170</v>
      </c>
      <c r="N17" s="14">
        <v>156</v>
      </c>
      <c r="O17" s="14">
        <v>209</v>
      </c>
      <c r="P17" s="14">
        <v>124</v>
      </c>
      <c r="Q17" s="14">
        <v>188</v>
      </c>
      <c r="R17" s="14">
        <v>166</v>
      </c>
      <c r="S17" s="14">
        <v>212</v>
      </c>
      <c r="T17" s="14">
        <v>78</v>
      </c>
    </row>
    <row r="18" spans="1:8" ht="12.75">
      <c r="A18" s="1"/>
      <c r="C18" s="4"/>
      <c r="D18" s="12"/>
      <c r="E18" s="9"/>
      <c r="F18" s="10"/>
      <c r="G18" s="7"/>
      <c r="H18" s="10"/>
    </row>
    <row r="19" spans="1:8" ht="12.75">
      <c r="A19" s="1"/>
      <c r="C19" s="4"/>
      <c r="D19" s="12"/>
      <c r="E19" s="9"/>
      <c r="F19" s="10"/>
      <c r="G19" s="7"/>
      <c r="H19" s="10"/>
    </row>
    <row r="20" spans="1:8" ht="12.75">
      <c r="A20" s="1"/>
      <c r="C20" s="4"/>
      <c r="D20" s="12"/>
      <c r="E20" s="9"/>
      <c r="F20" s="10"/>
      <c r="G20" s="7"/>
      <c r="H20" s="10"/>
    </row>
    <row r="21" spans="1:8" ht="12.75">
      <c r="A21" s="1">
        <v>38814</v>
      </c>
      <c r="C21" s="4"/>
      <c r="D21" s="12"/>
      <c r="E21" s="9"/>
      <c r="F21" s="10"/>
      <c r="G21" s="7"/>
      <c r="H21" s="10"/>
    </row>
    <row r="22" spans="1:8" ht="12.75">
      <c r="A22" s="1"/>
      <c r="C22" s="4"/>
      <c r="D22" s="12"/>
      <c r="E22" s="9"/>
      <c r="F22" s="10"/>
      <c r="G22" s="7"/>
      <c r="H22" s="10"/>
    </row>
    <row r="23" spans="1:20" ht="12.75">
      <c r="A23" s="1">
        <v>1696</v>
      </c>
      <c r="B23" s="14">
        <v>61</v>
      </c>
      <c r="C23" s="4">
        <v>3850</v>
      </c>
      <c r="D23" s="12">
        <v>3786</v>
      </c>
      <c r="E23" s="9">
        <v>1021</v>
      </c>
      <c r="F23" s="10">
        <v>2019</v>
      </c>
      <c r="G23" s="7">
        <v>435</v>
      </c>
      <c r="H23" s="10">
        <v>1183</v>
      </c>
      <c r="I23" s="14">
        <v>41</v>
      </c>
      <c r="J23" s="14">
        <v>43</v>
      </c>
      <c r="K23" s="17">
        <v>41</v>
      </c>
      <c r="L23" s="18">
        <v>51</v>
      </c>
      <c r="M23" s="14"/>
      <c r="N23" s="14">
        <v>47</v>
      </c>
      <c r="O23" s="14"/>
      <c r="P23" s="14">
        <v>35</v>
      </c>
      <c r="Q23" s="14">
        <v>56</v>
      </c>
      <c r="R23" s="14">
        <v>48</v>
      </c>
      <c r="S23" s="14">
        <v>60</v>
      </c>
      <c r="T23" s="14">
        <v>24</v>
      </c>
    </row>
    <row r="24" spans="1:20" ht="12.75">
      <c r="A24" s="1">
        <v>9405</v>
      </c>
      <c r="B24" s="14">
        <v>192</v>
      </c>
      <c r="C24" s="4">
        <v>782</v>
      </c>
      <c r="D24" s="12">
        <v>615</v>
      </c>
      <c r="E24" s="9">
        <v>299</v>
      </c>
      <c r="F24" s="10">
        <v>344</v>
      </c>
      <c r="G24" s="7">
        <v>15</v>
      </c>
      <c r="H24" s="10">
        <v>233</v>
      </c>
      <c r="I24" s="14">
        <v>227</v>
      </c>
      <c r="J24" s="14">
        <v>136</v>
      </c>
      <c r="K24" s="17">
        <v>222</v>
      </c>
      <c r="L24" s="18">
        <v>162</v>
      </c>
      <c r="M24" s="14">
        <v>156</v>
      </c>
      <c r="N24" s="14">
        <v>215</v>
      </c>
      <c r="O24" s="14">
        <v>176</v>
      </c>
      <c r="P24" s="14">
        <v>174</v>
      </c>
      <c r="Q24" s="14">
        <v>164</v>
      </c>
      <c r="R24" s="14">
        <v>223</v>
      </c>
      <c r="S24" s="14">
        <v>185</v>
      </c>
      <c r="T24" s="14">
        <v>154</v>
      </c>
    </row>
    <row r="25" spans="1:8" ht="12.75">
      <c r="A25" s="1"/>
      <c r="C25" s="4"/>
      <c r="D25" s="12"/>
      <c r="E25" s="9"/>
      <c r="F25" s="10"/>
      <c r="G25" s="7"/>
      <c r="H25" s="10"/>
    </row>
    <row r="26" spans="1:8" ht="12.75">
      <c r="A26" s="1"/>
      <c r="C26" s="4"/>
      <c r="D26" s="12"/>
      <c r="E26" s="9"/>
      <c r="F26" s="10"/>
      <c r="G26" s="7"/>
      <c r="H26" s="10"/>
    </row>
    <row r="27" spans="1:20" ht="12.75">
      <c r="A27" s="1">
        <v>4157</v>
      </c>
      <c r="B27" s="14">
        <v>231</v>
      </c>
      <c r="C27" s="4">
        <v>1730</v>
      </c>
      <c r="D27" s="12">
        <v>1757</v>
      </c>
      <c r="E27" s="9">
        <v>1747</v>
      </c>
      <c r="F27" s="10">
        <v>877</v>
      </c>
      <c r="G27" s="7">
        <v>1032</v>
      </c>
      <c r="H27" s="10">
        <v>595</v>
      </c>
      <c r="I27" s="14">
        <v>164</v>
      </c>
      <c r="J27" s="14">
        <v>157</v>
      </c>
      <c r="K27" s="17">
        <v>168</v>
      </c>
      <c r="L27" s="18">
        <v>170</v>
      </c>
      <c r="M27" s="14">
        <v>182</v>
      </c>
      <c r="N27" s="14">
        <v>182</v>
      </c>
      <c r="O27" s="14">
        <v>225</v>
      </c>
      <c r="P27" s="14">
        <v>104</v>
      </c>
      <c r="Q27" s="14">
        <v>186</v>
      </c>
      <c r="R27" s="14">
        <v>195</v>
      </c>
      <c r="S27" s="14">
        <v>220</v>
      </c>
      <c r="T27" s="14">
        <v>97</v>
      </c>
    </row>
    <row r="28" spans="1:8" ht="12.75">
      <c r="A28" s="1"/>
      <c r="C28" s="4"/>
      <c r="D28" s="12"/>
      <c r="E28" s="9"/>
      <c r="F28" s="10"/>
      <c r="G28" s="7"/>
      <c r="H28" s="10"/>
    </row>
    <row r="29" spans="1:8" ht="12.75">
      <c r="A29" s="1"/>
      <c r="C29" s="4"/>
      <c r="D29" s="12"/>
      <c r="E29" s="9"/>
      <c r="F29" s="10"/>
      <c r="G29" s="7"/>
      <c r="H29" s="10"/>
    </row>
    <row r="30" spans="1:8" ht="12.75">
      <c r="A30" s="1"/>
      <c r="C30" s="4"/>
      <c r="D30" s="12"/>
      <c r="E30" s="9"/>
      <c r="F30" s="10"/>
      <c r="G30" s="7"/>
      <c r="H30" s="10"/>
    </row>
    <row r="31" spans="1:8" ht="12.75">
      <c r="A31" s="2"/>
      <c r="C31" s="4"/>
      <c r="D31" s="12"/>
      <c r="E31" s="9"/>
      <c r="F31" s="10"/>
      <c r="G31" s="7"/>
      <c r="H31" s="10"/>
    </row>
    <row r="32" spans="1:8" ht="12.75">
      <c r="A32" s="1"/>
      <c r="C32" s="4"/>
      <c r="D32" s="12"/>
      <c r="E32" s="9"/>
      <c r="F32" s="10"/>
      <c r="G32" s="7"/>
      <c r="H32" s="10"/>
    </row>
    <row r="33" spans="1:8" ht="12.75">
      <c r="A33" s="1"/>
      <c r="C33" s="4"/>
      <c r="D33" s="12"/>
      <c r="E33" s="9"/>
      <c r="F33" s="10"/>
      <c r="G33" s="7"/>
      <c r="H33" s="10"/>
    </row>
    <row r="34" spans="1:8" ht="12.75">
      <c r="A34" s="1"/>
      <c r="C34" s="4"/>
      <c r="D34" s="12"/>
      <c r="E34" s="9"/>
      <c r="F34" s="10"/>
      <c r="G34" s="7"/>
      <c r="H34" s="10"/>
    </row>
    <row r="35" spans="1:8" ht="12.75">
      <c r="A35" s="2"/>
      <c r="C35" s="4"/>
      <c r="D35" s="12"/>
      <c r="E35" s="9"/>
      <c r="F35" s="10"/>
      <c r="G35" s="7"/>
      <c r="H35" s="10"/>
    </row>
    <row r="36" spans="1:8" ht="12.75">
      <c r="A36" s="1"/>
      <c r="C36" s="4"/>
      <c r="D36" s="12"/>
      <c r="E36" s="9"/>
      <c r="F36" s="10"/>
      <c r="G36" s="7"/>
      <c r="H36" s="10"/>
    </row>
    <row r="37" spans="1:8" ht="12.75">
      <c r="A37" s="1"/>
      <c r="C37" s="4"/>
      <c r="D37" s="12"/>
      <c r="E37" s="9"/>
      <c r="F37" s="10"/>
      <c r="G37" s="7"/>
      <c r="H37" s="10"/>
    </row>
    <row r="38" spans="1:8" ht="12.75">
      <c r="A38" s="1"/>
      <c r="C38" s="4"/>
      <c r="D38" s="12"/>
      <c r="E38" s="9"/>
      <c r="F38" s="10"/>
      <c r="G38" s="7"/>
      <c r="H38" s="10"/>
    </row>
    <row r="39" spans="1:8" ht="12.75">
      <c r="A39" s="1"/>
      <c r="C39" s="4"/>
      <c r="D39" s="12"/>
      <c r="E39" s="9"/>
      <c r="F39" s="10"/>
      <c r="G39" s="7"/>
      <c r="H39" s="10"/>
    </row>
    <row r="40" spans="1:8" ht="12.75">
      <c r="A40" s="1"/>
      <c r="C40" s="4"/>
      <c r="D40" s="12"/>
      <c r="E40" s="9"/>
      <c r="F40" s="10"/>
      <c r="G40" s="7"/>
      <c r="H40" s="10"/>
    </row>
    <row r="41" spans="1:8" ht="12.75">
      <c r="A41" s="1"/>
      <c r="C41" s="4"/>
      <c r="D41" s="12"/>
      <c r="E41" s="9"/>
      <c r="F41" s="10"/>
      <c r="G41" s="7"/>
      <c r="H41" s="10"/>
    </row>
    <row r="42" spans="1:8" ht="12.75">
      <c r="A42" s="1"/>
      <c r="C42" s="4"/>
      <c r="D42" s="12"/>
      <c r="E42" s="9"/>
      <c r="F42" s="10"/>
      <c r="G42" s="7"/>
      <c r="H42" s="10"/>
    </row>
    <row r="43" spans="1:8" ht="12.75">
      <c r="A43" s="1"/>
      <c r="C43" s="4"/>
      <c r="D43" s="12"/>
      <c r="E43" s="9"/>
      <c r="F43" s="10"/>
      <c r="G43" s="7"/>
      <c r="H43" s="10"/>
    </row>
    <row r="44" spans="1:8" ht="12.75">
      <c r="A44" s="1"/>
      <c r="C44" s="4"/>
      <c r="D44" s="12"/>
      <c r="E44" s="9"/>
      <c r="F44" s="10"/>
      <c r="G44" s="7"/>
      <c r="H44" s="10"/>
    </row>
    <row r="45" spans="1:8" ht="12.75">
      <c r="A45" s="1"/>
      <c r="C45" s="4"/>
      <c r="D45" s="12"/>
      <c r="E45" s="9"/>
      <c r="F45" s="10"/>
      <c r="G45" s="7"/>
      <c r="H45" s="10"/>
    </row>
    <row r="46" spans="1:8" ht="12.75">
      <c r="A46" s="1"/>
      <c r="C46" s="4"/>
      <c r="D46" s="12"/>
      <c r="E46" s="9"/>
      <c r="F46" s="10"/>
      <c r="G46" s="7"/>
      <c r="H46" s="10"/>
    </row>
    <row r="47" spans="1:8" ht="12.75">
      <c r="A47" s="1"/>
      <c r="C47" s="4"/>
      <c r="D47" s="12"/>
      <c r="E47" s="9"/>
      <c r="F47" s="10"/>
      <c r="G47" s="7"/>
      <c r="H47" s="10"/>
    </row>
    <row r="48" spans="1:20" ht="12.75">
      <c r="A48" s="1">
        <v>5105</v>
      </c>
      <c r="B48" s="14">
        <v>283</v>
      </c>
      <c r="C48" s="4">
        <v>283</v>
      </c>
      <c r="D48" s="12">
        <v>305</v>
      </c>
      <c r="E48" s="9">
        <v>977</v>
      </c>
      <c r="F48" s="10">
        <v>197</v>
      </c>
      <c r="G48" s="7">
        <v>835</v>
      </c>
      <c r="H48" s="10">
        <v>449</v>
      </c>
      <c r="I48" s="14">
        <v>179</v>
      </c>
      <c r="J48" s="14">
        <v>246</v>
      </c>
      <c r="K48" s="17">
        <v>176</v>
      </c>
      <c r="L48" s="18">
        <v>260</v>
      </c>
      <c r="M48" s="14">
        <v>206</v>
      </c>
      <c r="N48" s="14">
        <v>210</v>
      </c>
      <c r="O48" s="14">
        <v>257</v>
      </c>
      <c r="P48" s="14">
        <v>122</v>
      </c>
      <c r="Q48" s="14">
        <v>222</v>
      </c>
      <c r="R48" s="14">
        <v>180</v>
      </c>
      <c r="S48" s="14">
        <v>250</v>
      </c>
      <c r="T48" s="14">
        <v>101</v>
      </c>
    </row>
    <row r="49" spans="1:8" ht="12.75">
      <c r="A49" s="1"/>
      <c r="C49" s="4"/>
      <c r="D49" s="12"/>
      <c r="E49" s="9"/>
      <c r="F49" s="10"/>
      <c r="G49" s="7"/>
      <c r="H49" s="10"/>
    </row>
    <row r="50" spans="1:8" ht="12.75">
      <c r="A50" s="1"/>
      <c r="C50" s="4"/>
      <c r="D50" s="12"/>
      <c r="E50" s="9"/>
      <c r="F50" s="10"/>
      <c r="G50" s="7"/>
      <c r="H50" s="10"/>
    </row>
    <row r="51" spans="1:8" ht="12.75">
      <c r="A51" s="1"/>
      <c r="C51" s="4"/>
      <c r="D51" s="12"/>
      <c r="E51" s="9"/>
      <c r="F51" s="10"/>
      <c r="G51" s="7"/>
      <c r="H51" s="10"/>
    </row>
    <row r="52" spans="1:8" ht="12.75">
      <c r="A52" s="1"/>
      <c r="C52" s="4"/>
      <c r="D52" s="12"/>
      <c r="E52" s="9"/>
      <c r="F52" s="10"/>
      <c r="G52" s="7"/>
      <c r="H52" s="10"/>
    </row>
    <row r="53" spans="1:8" ht="12.75">
      <c r="A53" s="1"/>
      <c r="C53" s="4"/>
      <c r="D53" s="12"/>
      <c r="E53" s="9"/>
      <c r="F53" s="10"/>
      <c r="G53" s="7"/>
      <c r="H53" s="10"/>
    </row>
    <row r="54" spans="1:8" ht="12.75">
      <c r="A54" s="1"/>
      <c r="C54" s="4"/>
      <c r="D54" s="12"/>
      <c r="E54" s="9"/>
      <c r="F54" s="10"/>
      <c r="G54" s="7"/>
      <c r="H54" s="10"/>
    </row>
    <row r="55" spans="1:20" ht="12.75">
      <c r="A55" s="1">
        <v>1741</v>
      </c>
      <c r="B55" s="14">
        <v>224</v>
      </c>
      <c r="C55" s="4">
        <v>1068</v>
      </c>
      <c r="D55" s="12">
        <v>1029</v>
      </c>
      <c r="E55" s="9">
        <v>630</v>
      </c>
      <c r="F55" s="10">
        <v>2042</v>
      </c>
      <c r="G55" s="7">
        <v>300</v>
      </c>
      <c r="H55" s="10">
        <v>336</v>
      </c>
      <c r="I55" s="14">
        <v>141</v>
      </c>
      <c r="J55" s="14">
        <v>831</v>
      </c>
      <c r="K55" s="17">
        <v>131</v>
      </c>
      <c r="L55" s="18">
        <v>941</v>
      </c>
      <c r="M55" s="14">
        <v>118</v>
      </c>
      <c r="N55" s="14">
        <v>672</v>
      </c>
      <c r="O55" s="14"/>
      <c r="P55" s="14">
        <v>104</v>
      </c>
      <c r="Q55" s="14">
        <v>181</v>
      </c>
      <c r="R55" s="14">
        <v>638</v>
      </c>
      <c r="S55" s="14">
        <v>964</v>
      </c>
      <c r="T55" s="14">
        <v>43</v>
      </c>
    </row>
    <row r="56" spans="1:8" ht="12.75">
      <c r="A56" s="1"/>
      <c r="C56" s="4"/>
      <c r="D56" s="12"/>
      <c r="E56" s="9"/>
      <c r="F56" s="10"/>
      <c r="G56" s="7"/>
      <c r="H56" s="10"/>
    </row>
    <row r="57" spans="1:8" ht="12.75">
      <c r="A57" s="1"/>
      <c r="C57" s="4"/>
      <c r="D57" s="12"/>
      <c r="E57" s="9"/>
      <c r="F57" s="10"/>
      <c r="G57" s="7"/>
      <c r="H57" s="10"/>
    </row>
    <row r="58" spans="1:8" ht="12.75">
      <c r="A58" s="1"/>
      <c r="C58" s="4"/>
      <c r="D58" s="12"/>
      <c r="E58" s="9"/>
      <c r="F58" s="10"/>
      <c r="G58" s="7"/>
      <c r="H58" s="10"/>
    </row>
    <row r="59" spans="1:8" ht="12.75">
      <c r="A59" s="1"/>
      <c r="C59" s="4"/>
      <c r="D59" s="12"/>
      <c r="E59" s="9"/>
      <c r="F59" s="10"/>
      <c r="G59" s="7"/>
      <c r="H59" s="10"/>
    </row>
    <row r="60" spans="1:8" ht="12.75">
      <c r="A60" s="2">
        <v>116430</v>
      </c>
      <c r="C60" s="4"/>
      <c r="D60" s="12"/>
      <c r="E60" s="9"/>
      <c r="F60" s="10"/>
      <c r="G60" s="7"/>
      <c r="H60" s="10"/>
    </row>
    <row r="61" spans="1:20" ht="12.75">
      <c r="A61" s="1">
        <v>663</v>
      </c>
      <c r="B61" s="14">
        <v>6</v>
      </c>
      <c r="C61" s="4">
        <v>1061</v>
      </c>
      <c r="D61" s="12">
        <v>1094</v>
      </c>
      <c r="E61" s="9">
        <v>2003</v>
      </c>
      <c r="F61" s="10">
        <v>1342</v>
      </c>
      <c r="G61" s="7">
        <v>411</v>
      </c>
      <c r="H61" s="10">
        <v>531</v>
      </c>
      <c r="I61" s="14">
        <v>109</v>
      </c>
      <c r="J61" s="14">
        <v>6</v>
      </c>
      <c r="K61" s="17">
        <v>111</v>
      </c>
      <c r="L61" s="18">
        <v>6</v>
      </c>
      <c r="M61" s="14">
        <v>6</v>
      </c>
      <c r="N61" s="14">
        <v>3</v>
      </c>
      <c r="O61" s="14">
        <v>6</v>
      </c>
      <c r="P61" s="14">
        <v>2</v>
      </c>
      <c r="Q61" s="14">
        <v>6</v>
      </c>
      <c r="R61" s="14">
        <v>3</v>
      </c>
      <c r="S61" s="14">
        <v>6</v>
      </c>
      <c r="T61" s="14">
        <v>1</v>
      </c>
    </row>
    <row r="62" spans="1:8" ht="12.75">
      <c r="A62" s="2"/>
      <c r="C62" s="4"/>
      <c r="D62" s="12"/>
      <c r="E62" s="9"/>
      <c r="F62" s="10"/>
      <c r="G62" s="7"/>
      <c r="H62" s="10"/>
    </row>
    <row r="63" spans="1:20" ht="12.75">
      <c r="A63" s="1">
        <v>1155</v>
      </c>
      <c r="B63" s="14">
        <v>55</v>
      </c>
      <c r="C63" s="4">
        <v>1606</v>
      </c>
      <c r="D63" s="12">
        <v>1728</v>
      </c>
      <c r="E63" s="9">
        <v>771</v>
      </c>
      <c r="F63" s="10">
        <v>618</v>
      </c>
      <c r="G63" s="7">
        <v>120</v>
      </c>
      <c r="H63" s="10">
        <v>283</v>
      </c>
      <c r="I63" s="14">
        <v>36</v>
      </c>
      <c r="J63" s="14"/>
      <c r="K63" s="17">
        <v>35</v>
      </c>
      <c r="M63" s="14">
        <v>28</v>
      </c>
      <c r="N63" s="14">
        <v>42</v>
      </c>
      <c r="O63" s="14"/>
      <c r="P63" s="14">
        <v>27</v>
      </c>
      <c r="Q63" s="14">
        <v>51</v>
      </c>
      <c r="R63" s="14">
        <v>33</v>
      </c>
      <c r="S63" s="14">
        <v>55</v>
      </c>
      <c r="T63" s="14">
        <v>6</v>
      </c>
    </row>
    <row r="64" spans="1:20" ht="12.75">
      <c r="A64" s="1">
        <v>1492</v>
      </c>
      <c r="B64" s="14">
        <v>163</v>
      </c>
      <c r="C64" s="4">
        <v>432</v>
      </c>
      <c r="D64" s="12">
        <v>434</v>
      </c>
      <c r="E64" s="9">
        <v>3085</v>
      </c>
      <c r="F64" s="10">
        <v>3066</v>
      </c>
      <c r="G64" s="7">
        <v>1751</v>
      </c>
      <c r="H64" s="10">
        <v>1505</v>
      </c>
      <c r="I64" s="14"/>
      <c r="J64" s="14">
        <v>132</v>
      </c>
      <c r="K64" s="17"/>
      <c r="L64" s="18">
        <v>145</v>
      </c>
      <c r="M64" s="14">
        <v>137</v>
      </c>
      <c r="N64" s="14"/>
      <c r="O64" s="14">
        <v>159</v>
      </c>
      <c r="P64" s="14">
        <v>90</v>
      </c>
      <c r="Q64" s="14">
        <v>155</v>
      </c>
      <c r="R64" s="14"/>
      <c r="S64" s="14">
        <v>162</v>
      </c>
      <c r="T64" s="14"/>
    </row>
    <row r="65" spans="1:20" ht="12.75">
      <c r="A65" s="1">
        <v>1877</v>
      </c>
      <c r="B65" s="14">
        <v>77</v>
      </c>
      <c r="C65" s="4">
        <v>484</v>
      </c>
      <c r="D65" s="12">
        <v>491</v>
      </c>
      <c r="E65" s="9">
        <v>2717</v>
      </c>
      <c r="F65" s="10">
        <v>2678</v>
      </c>
      <c r="G65" s="7">
        <v>640</v>
      </c>
      <c r="H65" s="10">
        <v>458</v>
      </c>
      <c r="I65" s="14"/>
      <c r="J65" s="14">
        <v>54</v>
      </c>
      <c r="K65" s="17"/>
      <c r="L65" s="18">
        <v>63</v>
      </c>
      <c r="M65" s="14">
        <v>74</v>
      </c>
      <c r="N65" s="14"/>
      <c r="O65" s="14">
        <v>75</v>
      </c>
      <c r="P65" s="14">
        <v>35</v>
      </c>
      <c r="Q65" s="14">
        <v>69</v>
      </c>
      <c r="R65" s="14"/>
      <c r="S65" s="14">
        <v>75</v>
      </c>
      <c r="T65" s="14">
        <v>33</v>
      </c>
    </row>
    <row r="66" spans="1:20" ht="12.75">
      <c r="A66" s="1">
        <v>24347</v>
      </c>
      <c r="B66" s="14">
        <v>1000</v>
      </c>
      <c r="C66" s="5">
        <v>3880</v>
      </c>
      <c r="D66" s="12">
        <v>4097</v>
      </c>
      <c r="E66" s="9">
        <v>928</v>
      </c>
      <c r="F66" s="10">
        <v>494</v>
      </c>
      <c r="G66" s="7">
        <v>458</v>
      </c>
      <c r="H66" s="10">
        <v>280</v>
      </c>
      <c r="I66" s="14">
        <v>637</v>
      </c>
      <c r="J66" s="14"/>
      <c r="K66" s="17">
        <v>643</v>
      </c>
      <c r="M66" s="14"/>
      <c r="N66" s="14">
        <v>517</v>
      </c>
      <c r="O66" s="14">
        <v>928</v>
      </c>
      <c r="P66" s="14">
        <v>396</v>
      </c>
      <c r="Q66" s="14"/>
      <c r="R66" s="14">
        <v>555</v>
      </c>
      <c r="S66" s="14"/>
      <c r="T66" s="14">
        <v>309</v>
      </c>
    </row>
    <row r="67" spans="1:20" ht="12.75">
      <c r="A67" s="2">
        <v>1009</v>
      </c>
      <c r="B67" s="14">
        <v>66</v>
      </c>
      <c r="C67" s="4">
        <v>2104</v>
      </c>
      <c r="D67" s="12">
        <v>2153</v>
      </c>
      <c r="E67" s="9">
        <v>2044</v>
      </c>
      <c r="F67" s="10">
        <v>1614</v>
      </c>
      <c r="G67" s="7">
        <v>1046</v>
      </c>
      <c r="H67" s="10">
        <v>773</v>
      </c>
      <c r="I67" s="14">
        <v>35</v>
      </c>
      <c r="J67" s="14">
        <v>83</v>
      </c>
      <c r="K67" s="17">
        <v>35</v>
      </c>
      <c r="L67" s="18">
        <v>92</v>
      </c>
      <c r="M67" s="14">
        <v>54</v>
      </c>
      <c r="N67" s="14">
        <v>27</v>
      </c>
      <c r="O67" s="14">
        <v>66</v>
      </c>
      <c r="P67" s="14">
        <v>24</v>
      </c>
      <c r="Q67" s="14">
        <v>59</v>
      </c>
      <c r="R67" s="14">
        <v>31</v>
      </c>
      <c r="S67" s="14">
        <v>65</v>
      </c>
      <c r="T67" s="14">
        <v>14</v>
      </c>
    </row>
    <row r="68" spans="1:8" ht="12.75">
      <c r="A68" s="1"/>
      <c r="C68" s="4"/>
      <c r="D68" s="12"/>
      <c r="E68" s="9"/>
      <c r="F68" s="10"/>
      <c r="G68" s="7"/>
      <c r="H68" s="10"/>
    </row>
    <row r="69" spans="1:8" ht="12.75">
      <c r="A69" s="1"/>
      <c r="C69" s="4"/>
      <c r="D69" s="12"/>
      <c r="E69" s="9"/>
      <c r="F69" s="10"/>
      <c r="G69" s="7"/>
      <c r="H69" s="10"/>
    </row>
    <row r="70" spans="1:8" ht="12.75">
      <c r="A70" s="1"/>
      <c r="C70" s="4"/>
      <c r="D70" s="12"/>
      <c r="E70" s="9"/>
      <c r="F70" s="10"/>
      <c r="G70" s="7"/>
      <c r="H70" s="10"/>
    </row>
    <row r="71" spans="1:8" ht="12.75">
      <c r="A71" s="1"/>
      <c r="C71" s="4"/>
      <c r="D71" s="12"/>
      <c r="E71" s="9"/>
      <c r="F71" s="10"/>
      <c r="G71" s="7"/>
      <c r="H71" s="10"/>
    </row>
    <row r="72" spans="1:8" ht="12.75">
      <c r="A72" s="1"/>
      <c r="C72" s="4"/>
      <c r="D72" s="12"/>
      <c r="E72" s="9"/>
      <c r="F72" s="10"/>
      <c r="G72" s="7"/>
      <c r="H72" s="10"/>
    </row>
    <row r="73" spans="1:20" ht="12.75">
      <c r="A73" s="1">
        <v>2540</v>
      </c>
      <c r="B73" s="14">
        <v>103</v>
      </c>
      <c r="C73" s="4">
        <v>2572</v>
      </c>
      <c r="D73" s="12">
        <v>2572</v>
      </c>
      <c r="E73" s="9">
        <v>2572</v>
      </c>
      <c r="F73" s="10">
        <v>2572</v>
      </c>
      <c r="G73" s="7">
        <v>320</v>
      </c>
      <c r="H73" s="10">
        <v>582</v>
      </c>
      <c r="I73" s="14">
        <v>72</v>
      </c>
      <c r="J73" s="14"/>
      <c r="K73" s="17">
        <v>69</v>
      </c>
      <c r="M73" s="14">
        <v>73</v>
      </c>
      <c r="N73" s="14"/>
      <c r="O73" s="14">
        <v>100</v>
      </c>
      <c r="P73" s="14">
        <v>35</v>
      </c>
      <c r="Q73" s="14">
        <v>85</v>
      </c>
      <c r="R73" s="14"/>
      <c r="S73" s="14">
        <v>103</v>
      </c>
      <c r="T73" s="14">
        <v>29</v>
      </c>
    </row>
    <row r="74" spans="1:20" ht="12.75">
      <c r="A74" s="1">
        <v>49518</v>
      </c>
      <c r="B74" s="14">
        <v>3190</v>
      </c>
      <c r="C74" s="4">
        <v>5981</v>
      </c>
      <c r="D74" s="12">
        <v>6324</v>
      </c>
      <c r="E74" s="9">
        <v>1903</v>
      </c>
      <c r="F74" s="10">
        <v>936</v>
      </c>
      <c r="G74" s="7">
        <v>713</v>
      </c>
      <c r="H74" s="10">
        <v>344</v>
      </c>
      <c r="I74" s="14">
        <v>1994</v>
      </c>
      <c r="J74" s="14"/>
      <c r="K74" s="17">
        <v>2016</v>
      </c>
      <c r="M74" s="14"/>
      <c r="N74" s="14">
        <v>1939</v>
      </c>
      <c r="O74" s="14">
        <v>2815</v>
      </c>
      <c r="P74" s="14">
        <v>1376</v>
      </c>
      <c r="Q74" s="14"/>
      <c r="R74" s="14">
        <v>1974</v>
      </c>
      <c r="S74" s="14"/>
      <c r="T74" s="14">
        <v>1065</v>
      </c>
    </row>
    <row r="75" spans="1:20" ht="12.75">
      <c r="A75" s="1">
        <v>12179</v>
      </c>
      <c r="B75" s="14">
        <v>440</v>
      </c>
      <c r="C75" s="4">
        <v>3044</v>
      </c>
      <c r="D75" s="12">
        <v>2607</v>
      </c>
      <c r="E75" s="9">
        <v>2452</v>
      </c>
      <c r="F75" s="10">
        <v>1217</v>
      </c>
      <c r="G75" s="7">
        <v>2982</v>
      </c>
      <c r="H75" s="10">
        <v>2076</v>
      </c>
      <c r="I75" s="14">
        <v>270</v>
      </c>
      <c r="J75" s="14">
        <v>363</v>
      </c>
      <c r="K75" s="17">
        <v>276</v>
      </c>
      <c r="L75" s="18">
        <v>404</v>
      </c>
      <c r="M75" s="14">
        <v>326</v>
      </c>
      <c r="N75" s="14">
        <v>251</v>
      </c>
      <c r="O75" s="14">
        <v>417</v>
      </c>
      <c r="P75" s="14">
        <v>153</v>
      </c>
      <c r="Q75" s="14">
        <v>367</v>
      </c>
      <c r="R75" s="14">
        <v>256</v>
      </c>
      <c r="S75" s="14">
        <v>406</v>
      </c>
      <c r="T75" s="14">
        <v>122</v>
      </c>
    </row>
    <row r="76" spans="1:8" ht="12.75">
      <c r="A76" s="2"/>
      <c r="C76" s="4"/>
      <c r="D76" s="12"/>
      <c r="E76" s="9"/>
      <c r="F76" s="10"/>
      <c r="G76" s="7"/>
      <c r="H76" s="10"/>
    </row>
    <row r="77" spans="1:8" ht="12.75">
      <c r="A77" s="1"/>
      <c r="C77" s="4"/>
      <c r="D77" s="12"/>
      <c r="E77" s="9"/>
      <c r="F77" s="10"/>
      <c r="G77" s="7"/>
      <c r="H77" s="10"/>
    </row>
    <row r="78" spans="1:20" ht="12.75">
      <c r="A78" s="2">
        <v>991</v>
      </c>
      <c r="B78" s="14">
        <v>116</v>
      </c>
      <c r="C78" s="4">
        <v>5786</v>
      </c>
      <c r="D78" s="12">
        <v>6239</v>
      </c>
      <c r="E78" s="9">
        <v>386</v>
      </c>
      <c r="F78" s="10">
        <v>3322</v>
      </c>
      <c r="G78" s="7">
        <v>87</v>
      </c>
      <c r="H78" s="10">
        <v>1025</v>
      </c>
      <c r="I78" s="14">
        <v>85</v>
      </c>
      <c r="J78" s="14">
        <v>84</v>
      </c>
      <c r="K78" s="17">
        <v>81</v>
      </c>
      <c r="L78" s="18">
        <v>99</v>
      </c>
      <c r="M78" s="14"/>
      <c r="N78" s="14">
        <v>80</v>
      </c>
      <c r="O78" s="14"/>
      <c r="P78" s="14">
        <v>83</v>
      </c>
      <c r="Q78" s="14">
        <v>82</v>
      </c>
      <c r="R78" s="14">
        <v>89</v>
      </c>
      <c r="S78" s="14">
        <v>91</v>
      </c>
      <c r="T78" s="14">
        <v>73</v>
      </c>
    </row>
    <row r="79" spans="1:20" ht="12.75">
      <c r="A79" s="1">
        <v>59972</v>
      </c>
      <c r="B79" s="14">
        <v>1933</v>
      </c>
      <c r="C79" s="4">
        <v>1114</v>
      </c>
      <c r="D79" s="12">
        <v>1039</v>
      </c>
      <c r="E79" s="9">
        <v>345</v>
      </c>
      <c r="F79" s="10">
        <v>85</v>
      </c>
      <c r="G79" s="7">
        <v>67</v>
      </c>
      <c r="H79" s="10">
        <v>4</v>
      </c>
      <c r="I79" s="14">
        <v>1221</v>
      </c>
      <c r="J79" s="14">
        <v>1519</v>
      </c>
      <c r="K79" s="17">
        <v>1227</v>
      </c>
      <c r="L79" s="18">
        <v>1732</v>
      </c>
      <c r="M79" s="14">
        <v>1344</v>
      </c>
      <c r="N79" s="14">
        <v>1363</v>
      </c>
      <c r="O79" s="14">
        <v>1910</v>
      </c>
      <c r="P79" s="14">
        <v>895</v>
      </c>
      <c r="Q79" s="14">
        <v>1520</v>
      </c>
      <c r="R79" s="14">
        <v>1209</v>
      </c>
      <c r="S79" s="14">
        <v>1888</v>
      </c>
      <c r="T79" s="14">
        <v>672</v>
      </c>
    </row>
    <row r="80" spans="1:8" ht="12.75">
      <c r="A80" s="1"/>
      <c r="C80" s="4"/>
      <c r="D80" s="12"/>
      <c r="E80" s="9"/>
      <c r="F80" s="10"/>
      <c r="G80" s="7"/>
      <c r="H80" s="10"/>
    </row>
    <row r="81" spans="1:8" ht="12.75">
      <c r="A81" s="1"/>
      <c r="C81" s="4"/>
      <c r="D81" s="12"/>
      <c r="E81" s="9"/>
      <c r="F81" s="10"/>
      <c r="G81" s="7"/>
      <c r="H81" s="10"/>
    </row>
    <row r="82" spans="1:20" ht="12.75">
      <c r="A82" s="1">
        <v>8589</v>
      </c>
      <c r="B82" s="14">
        <v>451</v>
      </c>
      <c r="C82" s="4">
        <v>6870</v>
      </c>
      <c r="D82" s="12">
        <v>6503</v>
      </c>
      <c r="E82" s="9">
        <v>310</v>
      </c>
      <c r="F82" s="10">
        <v>840</v>
      </c>
      <c r="G82" s="7">
        <v>567</v>
      </c>
      <c r="H82" s="10">
        <v>344</v>
      </c>
      <c r="I82" s="14">
        <v>286</v>
      </c>
      <c r="J82" s="14"/>
      <c r="K82" s="17">
        <v>300</v>
      </c>
      <c r="M82" s="14"/>
      <c r="N82" s="14">
        <v>188</v>
      </c>
      <c r="O82" s="14"/>
      <c r="P82" s="14">
        <v>142</v>
      </c>
      <c r="Q82" s="14"/>
      <c r="R82" s="14">
        <v>214</v>
      </c>
      <c r="S82" s="14"/>
      <c r="T82" s="14">
        <v>85</v>
      </c>
    </row>
    <row r="83" spans="1:8" ht="12.75">
      <c r="A83" s="1"/>
      <c r="C83" s="4"/>
      <c r="D83" s="12"/>
      <c r="E83" s="9"/>
      <c r="F83" s="10"/>
      <c r="G83" s="7"/>
      <c r="H83" s="10"/>
    </row>
    <row r="84" spans="1:20" ht="12.75">
      <c r="A84" s="2">
        <v>5426</v>
      </c>
      <c r="B84" s="14">
        <v>292</v>
      </c>
      <c r="C84" s="4">
        <v>2268</v>
      </c>
      <c r="D84" s="12">
        <v>2315</v>
      </c>
      <c r="E84" s="9">
        <v>4224</v>
      </c>
      <c r="F84" s="10">
        <v>3626</v>
      </c>
      <c r="G84" s="7">
        <v>303</v>
      </c>
      <c r="H84" s="10">
        <v>64</v>
      </c>
      <c r="I84" s="14">
        <v>206</v>
      </c>
      <c r="J84" s="14">
        <v>198</v>
      </c>
      <c r="K84" s="17">
        <v>207</v>
      </c>
      <c r="L84" s="18">
        <v>247</v>
      </c>
      <c r="M84" s="14">
        <v>129</v>
      </c>
      <c r="N84" s="14"/>
      <c r="O84" s="14"/>
      <c r="P84" s="14">
        <v>169</v>
      </c>
      <c r="Q84" s="14">
        <v>148</v>
      </c>
      <c r="R84" s="14"/>
      <c r="S84" s="14"/>
      <c r="T84" s="14">
        <v>159</v>
      </c>
    </row>
    <row r="85" spans="1:20" ht="12.75">
      <c r="A85" s="1">
        <v>6</v>
      </c>
      <c r="B85" s="14">
        <v>2</v>
      </c>
      <c r="C85" s="4">
        <v>2143</v>
      </c>
      <c r="D85" s="12">
        <v>2212</v>
      </c>
      <c r="E85" s="9">
        <v>2927</v>
      </c>
      <c r="F85" s="10">
        <v>2355</v>
      </c>
      <c r="G85" s="7">
        <v>1702</v>
      </c>
      <c r="H85" s="10">
        <v>1305</v>
      </c>
      <c r="I85" s="14">
        <v>2</v>
      </c>
      <c r="J85" s="14">
        <v>2</v>
      </c>
      <c r="K85" s="17">
        <v>2</v>
      </c>
      <c r="L85" s="18">
        <v>2</v>
      </c>
      <c r="M85" s="14">
        <v>2</v>
      </c>
      <c r="N85" s="14"/>
      <c r="O85" s="14">
        <v>2</v>
      </c>
      <c r="P85" s="14"/>
      <c r="Q85" s="14">
        <v>2</v>
      </c>
      <c r="R85" s="14">
        <v>2</v>
      </c>
      <c r="S85" s="14">
        <v>2</v>
      </c>
      <c r="T85" s="14"/>
    </row>
    <row r="86" spans="1:20" ht="12.75">
      <c r="A86" s="1">
        <v>2</v>
      </c>
      <c r="B86" s="14">
        <v>1</v>
      </c>
      <c r="C86" s="4">
        <v>7596</v>
      </c>
      <c r="D86" s="12">
        <v>7881</v>
      </c>
      <c r="E86" s="9">
        <v>4277</v>
      </c>
      <c r="F86" s="10">
        <v>1366</v>
      </c>
      <c r="G86" s="7">
        <v>2798</v>
      </c>
      <c r="H86" s="10">
        <v>1117</v>
      </c>
      <c r="I86" s="14">
        <v>1</v>
      </c>
      <c r="J86" s="14"/>
      <c r="K86" s="17">
        <v>1</v>
      </c>
      <c r="M86" s="14">
        <v>1</v>
      </c>
      <c r="N86" s="14">
        <v>1</v>
      </c>
      <c r="O86" s="14">
        <v>1</v>
      </c>
      <c r="P86" s="14">
        <v>1</v>
      </c>
      <c r="Q86" s="14"/>
      <c r="R86" s="14">
        <v>1</v>
      </c>
      <c r="S86" s="14">
        <v>1</v>
      </c>
      <c r="T86" s="14">
        <v>1</v>
      </c>
    </row>
    <row r="87" spans="1:20" ht="12.75">
      <c r="A87" s="1">
        <v>63179</v>
      </c>
      <c r="B87" s="14">
        <v>4644</v>
      </c>
      <c r="C87" s="4">
        <v>3475</v>
      </c>
      <c r="D87" s="12">
        <v>3635</v>
      </c>
      <c r="E87" s="9">
        <v>3595</v>
      </c>
      <c r="F87" s="10">
        <v>1419</v>
      </c>
      <c r="G87" s="7">
        <v>3662</v>
      </c>
      <c r="H87" s="10">
        <v>2356</v>
      </c>
      <c r="I87" s="14"/>
      <c r="J87" s="14">
        <v>3669</v>
      </c>
      <c r="K87" s="17">
        <v>2856</v>
      </c>
      <c r="L87" s="18">
        <v>4138</v>
      </c>
      <c r="M87" s="14">
        <v>3253</v>
      </c>
      <c r="N87" s="14">
        <v>2776</v>
      </c>
      <c r="O87" s="14">
        <v>4178</v>
      </c>
      <c r="P87" s="14"/>
      <c r="Q87" s="14"/>
      <c r="R87" s="14">
        <v>2775</v>
      </c>
      <c r="S87" s="14">
        <v>4215</v>
      </c>
      <c r="T87" s="14">
        <v>1474</v>
      </c>
    </row>
    <row r="88" spans="1:20" ht="12.75">
      <c r="A88" s="1">
        <v>29799</v>
      </c>
      <c r="B88" s="14">
        <v>1034</v>
      </c>
      <c r="C88" s="4">
        <v>569</v>
      </c>
      <c r="D88" s="12">
        <v>972</v>
      </c>
      <c r="E88" s="9">
        <v>723</v>
      </c>
      <c r="F88" s="10">
        <v>439</v>
      </c>
      <c r="G88" s="7">
        <v>127</v>
      </c>
      <c r="H88" s="10">
        <v>604</v>
      </c>
      <c r="I88" s="14"/>
      <c r="J88" s="14">
        <v>799</v>
      </c>
      <c r="K88" s="17"/>
      <c r="L88" s="18">
        <v>897</v>
      </c>
      <c r="M88" s="14"/>
      <c r="N88" s="14">
        <v>644</v>
      </c>
      <c r="O88" s="14"/>
      <c r="P88" s="14">
        <v>471</v>
      </c>
      <c r="Q88" s="14"/>
      <c r="R88" s="14">
        <v>629</v>
      </c>
      <c r="S88" s="14">
        <v>890</v>
      </c>
      <c r="T88" s="14">
        <v>328</v>
      </c>
    </row>
    <row r="89" spans="1:20" ht="12.75">
      <c r="A89" s="1">
        <v>938</v>
      </c>
      <c r="B89" s="14">
        <v>20</v>
      </c>
      <c r="C89" s="4">
        <v>847</v>
      </c>
      <c r="D89" s="12">
        <v>847</v>
      </c>
      <c r="E89" s="9">
        <v>4372</v>
      </c>
      <c r="F89" s="10">
        <v>4329</v>
      </c>
      <c r="G89" s="7">
        <v>1662</v>
      </c>
      <c r="H89" s="10">
        <v>1404</v>
      </c>
      <c r="I89" s="14"/>
      <c r="J89" s="14">
        <v>16</v>
      </c>
      <c r="K89" s="17"/>
      <c r="L89" s="18">
        <v>17</v>
      </c>
      <c r="M89" s="14">
        <v>18</v>
      </c>
      <c r="N89" s="14"/>
      <c r="O89" s="14">
        <v>20</v>
      </c>
      <c r="P89" s="14">
        <v>3</v>
      </c>
      <c r="Q89" s="14">
        <v>20</v>
      </c>
      <c r="R89" s="14"/>
      <c r="S89" s="14">
        <v>20</v>
      </c>
      <c r="T89" s="14"/>
    </row>
    <row r="90" spans="1:20" ht="12.75">
      <c r="A90" s="1">
        <v>112968</v>
      </c>
      <c r="B90" s="14">
        <v>4748</v>
      </c>
      <c r="C90" s="4">
        <v>3404</v>
      </c>
      <c r="D90" s="12">
        <v>3364</v>
      </c>
      <c r="E90" s="9">
        <v>2406</v>
      </c>
      <c r="F90" s="10">
        <v>1379</v>
      </c>
      <c r="G90" s="7">
        <v>1330</v>
      </c>
      <c r="H90" s="10">
        <v>671</v>
      </c>
      <c r="I90" s="14">
        <v>2854</v>
      </c>
      <c r="J90" s="14">
        <v>3791</v>
      </c>
      <c r="K90" s="17">
        <v>2854</v>
      </c>
      <c r="L90" s="18">
        <v>4272</v>
      </c>
      <c r="M90" s="14">
        <v>3303</v>
      </c>
      <c r="N90" s="14">
        <v>2868</v>
      </c>
      <c r="O90" s="14">
        <v>4268</v>
      </c>
      <c r="P90" s="14">
        <v>1914</v>
      </c>
      <c r="Q90" s="14">
        <v>3781</v>
      </c>
      <c r="R90" s="14">
        <v>2861</v>
      </c>
      <c r="S90" s="14">
        <v>4273</v>
      </c>
      <c r="T90" s="14">
        <v>1433</v>
      </c>
    </row>
    <row r="91" spans="1:20" ht="12.75">
      <c r="A91" s="2">
        <v>744</v>
      </c>
      <c r="B91" s="14">
        <v>41</v>
      </c>
      <c r="C91" s="4">
        <v>850</v>
      </c>
      <c r="D91" s="12">
        <v>917</v>
      </c>
      <c r="E91" s="9">
        <v>934</v>
      </c>
      <c r="F91" s="10">
        <v>1216</v>
      </c>
      <c r="G91" s="7">
        <v>388</v>
      </c>
      <c r="H91" s="10">
        <v>666</v>
      </c>
      <c r="I91" s="14"/>
      <c r="J91" s="14">
        <v>25</v>
      </c>
      <c r="K91" s="17"/>
      <c r="L91" s="18">
        <v>29</v>
      </c>
      <c r="M91" s="14">
        <v>27</v>
      </c>
      <c r="N91" s="14">
        <v>24</v>
      </c>
      <c r="O91" s="14">
        <v>34</v>
      </c>
      <c r="P91" s="14">
        <v>27</v>
      </c>
      <c r="Q91" s="14">
        <v>28</v>
      </c>
      <c r="R91" s="14">
        <v>24</v>
      </c>
      <c r="S91" s="14">
        <v>37</v>
      </c>
      <c r="T91" s="14">
        <v>26</v>
      </c>
    </row>
    <row r="92" spans="1:8" ht="12.75">
      <c r="A92" s="1"/>
      <c r="C92" s="4"/>
      <c r="D92" s="12"/>
      <c r="E92" s="9"/>
      <c r="F92" s="10"/>
      <c r="G92" s="7"/>
      <c r="H92" s="10"/>
    </row>
    <row r="93" spans="1:8" ht="12.75">
      <c r="A93" s="1"/>
      <c r="C93" s="4"/>
      <c r="D93" s="12"/>
      <c r="E93" s="9"/>
      <c r="F93" s="10"/>
      <c r="G93" s="7"/>
      <c r="H93" s="10"/>
    </row>
    <row r="94" spans="1:20" ht="12.75">
      <c r="A94" s="1">
        <v>36812</v>
      </c>
      <c r="B94" s="14">
        <v>958</v>
      </c>
      <c r="C94" s="4">
        <v>1279</v>
      </c>
      <c r="D94" s="12">
        <v>1787</v>
      </c>
      <c r="E94" s="9">
        <v>1792</v>
      </c>
      <c r="F94" s="10">
        <v>1458</v>
      </c>
      <c r="G94" s="7">
        <v>854</v>
      </c>
      <c r="H94" s="10">
        <v>906</v>
      </c>
      <c r="I94" s="14"/>
      <c r="J94" s="14">
        <v>733</v>
      </c>
      <c r="K94" s="17">
        <v>616</v>
      </c>
      <c r="L94" s="18">
        <v>847</v>
      </c>
      <c r="M94" s="14">
        <v>685</v>
      </c>
      <c r="N94" s="14">
        <v>569</v>
      </c>
      <c r="O94" s="14">
        <v>842</v>
      </c>
      <c r="P94" s="14">
        <v>459</v>
      </c>
      <c r="Q94" s="14">
        <v>766</v>
      </c>
      <c r="R94" s="14">
        <v>574</v>
      </c>
      <c r="S94" s="14">
        <v>831</v>
      </c>
      <c r="T94" s="14">
        <v>355</v>
      </c>
    </row>
    <row r="95" spans="1:20" ht="12.75">
      <c r="A95" s="1">
        <v>38</v>
      </c>
      <c r="B95" s="14">
        <v>9</v>
      </c>
      <c r="C95" s="4">
        <v>4423</v>
      </c>
      <c r="D95" s="12">
        <v>4153</v>
      </c>
      <c r="E95" s="9">
        <v>1374</v>
      </c>
      <c r="F95" s="10">
        <v>475</v>
      </c>
      <c r="G95" s="7">
        <v>684</v>
      </c>
      <c r="H95" s="10">
        <v>199</v>
      </c>
      <c r="I95" s="14">
        <v>6</v>
      </c>
      <c r="J95" s="14"/>
      <c r="K95" s="17">
        <v>5</v>
      </c>
      <c r="L95" s="18">
        <v>7</v>
      </c>
      <c r="M95" s="14"/>
      <c r="N95" s="14">
        <v>5</v>
      </c>
      <c r="O95" s="14">
        <v>9</v>
      </c>
      <c r="P95" s="14">
        <v>6</v>
      </c>
      <c r="Q95" s="14"/>
      <c r="R95" s="14">
        <v>8</v>
      </c>
      <c r="S95" s="14"/>
      <c r="T95" s="14">
        <v>7</v>
      </c>
    </row>
    <row r="96" spans="1:8" ht="12.75">
      <c r="A96" s="1">
        <v>13156</v>
      </c>
      <c r="C96" s="4"/>
      <c r="D96" s="12"/>
      <c r="E96" s="9"/>
      <c r="F96" s="10"/>
      <c r="G96" s="7"/>
      <c r="H96" s="10"/>
    </row>
    <row r="97" spans="1:20" ht="12.75">
      <c r="A97" s="1">
        <v>51690</v>
      </c>
      <c r="B97" s="14"/>
      <c r="C97" s="4"/>
      <c r="D97" s="12"/>
      <c r="E97" s="9"/>
      <c r="F97" s="10"/>
      <c r="G97" s="7"/>
      <c r="H97" s="11"/>
      <c r="I97" s="14"/>
      <c r="J97" s="14"/>
      <c r="M97" s="14"/>
      <c r="N97" s="14"/>
      <c r="O97" s="14"/>
      <c r="P97" s="14"/>
      <c r="Q97" s="14"/>
      <c r="R97" s="14"/>
      <c r="S97" s="14"/>
      <c r="T97" s="14"/>
    </row>
    <row r="98" spans="1:8" ht="12.75">
      <c r="A98" s="1"/>
      <c r="C98" s="4"/>
      <c r="D98" s="12"/>
      <c r="E98" s="9"/>
      <c r="F98" s="10"/>
      <c r="G98" s="7"/>
      <c r="H98" s="10"/>
    </row>
    <row r="99" spans="1:8" ht="12.75">
      <c r="A99" s="1"/>
      <c r="C99" s="4"/>
      <c r="D99" s="12"/>
      <c r="E99" s="9"/>
      <c r="F99" s="10"/>
      <c r="G99" s="7"/>
      <c r="H99" s="10"/>
    </row>
    <row r="100" spans="1:20" ht="12.75">
      <c r="A100" s="1">
        <v>472</v>
      </c>
      <c r="B100" s="14">
        <v>98</v>
      </c>
      <c r="C100" s="4">
        <v>1966</v>
      </c>
      <c r="D100" s="12">
        <v>2659</v>
      </c>
      <c r="E100" s="9">
        <v>1379</v>
      </c>
      <c r="F100" s="10">
        <v>1203</v>
      </c>
      <c r="G100" s="7">
        <v>1876</v>
      </c>
      <c r="H100" s="10">
        <v>1876</v>
      </c>
      <c r="I100" s="14">
        <v>75</v>
      </c>
      <c r="J100" s="14">
        <v>167</v>
      </c>
      <c r="K100" s="17">
        <v>78</v>
      </c>
      <c r="L100" s="18">
        <v>88</v>
      </c>
      <c r="M100" s="14">
        <v>77</v>
      </c>
      <c r="N100" s="14">
        <v>50</v>
      </c>
      <c r="O100" s="14">
        <v>93</v>
      </c>
      <c r="P100" s="14">
        <v>41</v>
      </c>
      <c r="Q100" s="14">
        <v>70</v>
      </c>
      <c r="R100" s="14">
        <v>126</v>
      </c>
      <c r="S100" s="14">
        <v>73</v>
      </c>
      <c r="T100" s="14"/>
    </row>
    <row r="101" spans="1:8" ht="12.75">
      <c r="A101" s="1"/>
      <c r="C101" s="4"/>
      <c r="D101" s="12"/>
      <c r="E101" s="9"/>
      <c r="F101" s="10"/>
      <c r="G101" s="7"/>
      <c r="H101" s="10"/>
    </row>
    <row r="102" spans="1:8" ht="12.75">
      <c r="A102" s="1"/>
      <c r="C102" s="4"/>
      <c r="D102" s="12"/>
      <c r="E102" s="9"/>
      <c r="F102" s="10"/>
      <c r="G102" s="7"/>
      <c r="H102" s="10"/>
    </row>
    <row r="103" spans="1:8" ht="12.75">
      <c r="A103" s="1"/>
      <c r="C103" s="5"/>
      <c r="D103" s="12"/>
      <c r="E103" s="9"/>
      <c r="F103" s="10"/>
      <c r="G103" s="7"/>
      <c r="H103" s="10"/>
    </row>
    <row r="104" spans="1:20" ht="12.75">
      <c r="A104" s="1">
        <v>6201</v>
      </c>
      <c r="B104" s="14">
        <v>325</v>
      </c>
      <c r="C104" s="4">
        <v>1728</v>
      </c>
      <c r="D104" s="12">
        <v>2013</v>
      </c>
      <c r="E104" s="9">
        <v>2088</v>
      </c>
      <c r="F104" s="10">
        <v>2519</v>
      </c>
      <c r="G104" s="7">
        <v>264</v>
      </c>
      <c r="H104" s="10">
        <v>568</v>
      </c>
      <c r="I104" s="14"/>
      <c r="J104" s="14">
        <v>274</v>
      </c>
      <c r="K104" s="17">
        <v>190</v>
      </c>
      <c r="L104" s="18">
        <v>302</v>
      </c>
      <c r="M104" s="14">
        <v>212</v>
      </c>
      <c r="N104" s="14">
        <v>212</v>
      </c>
      <c r="O104" s="14"/>
      <c r="P104" s="14">
        <v>130</v>
      </c>
      <c r="Q104" s="14">
        <v>252</v>
      </c>
      <c r="R104" s="14">
        <v>211</v>
      </c>
      <c r="S104" s="14">
        <v>303</v>
      </c>
      <c r="T104" s="14">
        <v>81</v>
      </c>
    </row>
    <row r="105" spans="1:8" ht="12.75">
      <c r="A105" s="1"/>
      <c r="C105" s="4"/>
      <c r="D105" s="12"/>
      <c r="E105" s="9"/>
      <c r="F105" s="10"/>
      <c r="G105" s="7"/>
      <c r="H105" s="10"/>
    </row>
    <row r="106" spans="1:20" ht="12.75">
      <c r="A106" s="1">
        <v>5130</v>
      </c>
      <c r="B106" s="14">
        <v>134</v>
      </c>
      <c r="C106" s="4">
        <v>3074</v>
      </c>
      <c r="D106" s="12">
        <v>3335</v>
      </c>
      <c r="E106" s="9">
        <v>1428</v>
      </c>
      <c r="F106" s="10">
        <v>1517</v>
      </c>
      <c r="G106" s="7">
        <v>1273</v>
      </c>
      <c r="H106" s="10">
        <v>728</v>
      </c>
      <c r="I106" s="14">
        <v>86</v>
      </c>
      <c r="J106" s="14"/>
      <c r="K106" s="17">
        <v>93</v>
      </c>
      <c r="L106" s="18">
        <v>112</v>
      </c>
      <c r="M106" s="14">
        <v>112</v>
      </c>
      <c r="N106" s="14">
        <v>79</v>
      </c>
      <c r="O106" s="14">
        <v>129</v>
      </c>
      <c r="P106" s="14">
        <v>60</v>
      </c>
      <c r="Q106" s="14">
        <v>123</v>
      </c>
      <c r="R106" s="14">
        <v>85</v>
      </c>
      <c r="S106" s="14">
        <v>131</v>
      </c>
      <c r="T106" s="14">
        <v>52</v>
      </c>
    </row>
    <row r="107" spans="1:20" ht="12.75">
      <c r="A107" s="1">
        <v>90</v>
      </c>
      <c r="B107" s="14">
        <v>323</v>
      </c>
      <c r="C107" s="4">
        <v>3059</v>
      </c>
      <c r="D107" s="12">
        <v>3260</v>
      </c>
      <c r="E107" s="9">
        <v>2238</v>
      </c>
      <c r="F107" s="10">
        <v>2109</v>
      </c>
      <c r="G107" s="7">
        <v>1224</v>
      </c>
      <c r="H107" s="10">
        <v>950</v>
      </c>
      <c r="I107" s="14">
        <v>197</v>
      </c>
      <c r="J107" s="14"/>
      <c r="K107" s="17">
        <v>194</v>
      </c>
      <c r="L107" s="18">
        <v>302</v>
      </c>
      <c r="M107" s="14">
        <v>172</v>
      </c>
      <c r="N107" s="14">
        <v>237</v>
      </c>
      <c r="O107" s="14">
        <v>246</v>
      </c>
      <c r="P107" s="14">
        <v>195</v>
      </c>
      <c r="Q107" s="14">
        <v>217</v>
      </c>
      <c r="R107" s="14">
        <v>224</v>
      </c>
      <c r="S107" s="14">
        <v>262</v>
      </c>
      <c r="T107" s="14">
        <v>155</v>
      </c>
    </row>
    <row r="108" spans="1:8" ht="12.75">
      <c r="A108" s="1"/>
      <c r="C108" s="5"/>
      <c r="D108" s="12"/>
      <c r="E108" s="9"/>
      <c r="F108" s="10"/>
      <c r="G108" s="7"/>
      <c r="H108" s="10"/>
    </row>
    <row r="109" spans="1:20" ht="12.75">
      <c r="A109" s="1">
        <v>347</v>
      </c>
      <c r="B109" s="14">
        <v>24</v>
      </c>
      <c r="C109" s="4">
        <v>483</v>
      </c>
      <c r="D109" s="12">
        <v>440</v>
      </c>
      <c r="E109" s="9">
        <v>1670</v>
      </c>
      <c r="F109" s="10">
        <v>650</v>
      </c>
      <c r="G109" s="7">
        <v>961</v>
      </c>
      <c r="H109" s="10">
        <v>623</v>
      </c>
      <c r="I109" s="14">
        <v>58</v>
      </c>
      <c r="J109" s="14">
        <v>12</v>
      </c>
      <c r="K109" s="17">
        <v>66</v>
      </c>
      <c r="L109" s="18">
        <v>23</v>
      </c>
      <c r="M109" s="14">
        <v>61</v>
      </c>
      <c r="N109" s="14">
        <v>20</v>
      </c>
      <c r="O109" s="14">
        <v>23</v>
      </c>
      <c r="P109" s="14">
        <v>9</v>
      </c>
      <c r="Q109" s="14">
        <v>70</v>
      </c>
      <c r="R109" s="14">
        <v>21</v>
      </c>
      <c r="S109" s="14">
        <v>82</v>
      </c>
      <c r="T109" s="14">
        <v>8</v>
      </c>
    </row>
    <row r="110" spans="1:8" ht="12.75">
      <c r="A110" s="2"/>
      <c r="C110" s="4"/>
      <c r="D110" s="12"/>
      <c r="E110" s="9"/>
      <c r="F110" s="10"/>
      <c r="G110" s="7"/>
      <c r="H110" s="10"/>
    </row>
    <row r="111" spans="1:8" ht="12.75">
      <c r="A111" s="1"/>
      <c r="C111" s="5"/>
      <c r="D111" s="12"/>
      <c r="E111" s="9"/>
      <c r="F111" s="10"/>
      <c r="G111" s="7"/>
      <c r="H111" s="10"/>
    </row>
    <row r="112" spans="1:8" ht="12.75">
      <c r="A112" s="1"/>
      <c r="C112" s="4"/>
      <c r="D112" s="12"/>
      <c r="E112" s="9"/>
      <c r="F112" s="10"/>
      <c r="G112" s="7"/>
      <c r="H112" s="10"/>
    </row>
    <row r="113" spans="1:8" ht="12.75">
      <c r="A113" s="1"/>
      <c r="C113" s="4"/>
      <c r="D113" s="12"/>
      <c r="E113" s="9"/>
      <c r="F113" s="10"/>
      <c r="G113" s="7"/>
      <c r="H113" s="10"/>
    </row>
    <row r="114" spans="1:20" ht="12.75">
      <c r="A114" s="1">
        <v>6482</v>
      </c>
      <c r="B114" s="14">
        <v>387</v>
      </c>
      <c r="C114" s="4">
        <v>3474</v>
      </c>
      <c r="D114" s="12">
        <v>3885</v>
      </c>
      <c r="E114" s="9">
        <v>470</v>
      </c>
      <c r="F114" s="10">
        <v>1182</v>
      </c>
      <c r="G114" s="7">
        <v>403</v>
      </c>
      <c r="H114" s="10">
        <v>1619</v>
      </c>
      <c r="I114" s="14">
        <v>269</v>
      </c>
      <c r="J114" s="14">
        <v>490</v>
      </c>
      <c r="K114" s="17">
        <v>262</v>
      </c>
      <c r="L114" s="18">
        <v>343</v>
      </c>
      <c r="M114" s="14"/>
      <c r="N114" s="14">
        <v>273</v>
      </c>
      <c r="O114" s="14">
        <v>449</v>
      </c>
      <c r="P114" s="14">
        <v>204</v>
      </c>
      <c r="Q114" s="14">
        <v>293</v>
      </c>
      <c r="R114" s="14">
        <v>276</v>
      </c>
      <c r="S114" s="14">
        <v>338</v>
      </c>
      <c r="T114" s="14">
        <v>162</v>
      </c>
    </row>
    <row r="115" spans="1:8" ht="12.75">
      <c r="A115" s="1"/>
      <c r="C115" s="4"/>
      <c r="D115" s="12"/>
      <c r="E115" s="9"/>
      <c r="F115" s="10"/>
      <c r="G115" s="7"/>
      <c r="H115" s="10"/>
    </row>
    <row r="116" spans="1:8" ht="12.75">
      <c r="A116" s="1"/>
      <c r="C116" s="4"/>
      <c r="D116" s="12"/>
      <c r="E116" s="9"/>
      <c r="F116" s="10"/>
      <c r="G116" s="7"/>
      <c r="H116" s="10"/>
    </row>
    <row r="117" spans="1:8" ht="12.75">
      <c r="A117" s="1"/>
      <c r="C117" s="4"/>
      <c r="D117" s="12"/>
      <c r="E117" s="9"/>
      <c r="F117" s="10"/>
      <c r="G117" s="7"/>
      <c r="H117" s="10"/>
    </row>
    <row r="118" spans="1:8" ht="12.75">
      <c r="A118" s="1"/>
      <c r="C118" s="4"/>
      <c r="D118" s="12"/>
      <c r="E118" s="9"/>
      <c r="F118" s="10"/>
      <c r="G118" s="7"/>
      <c r="H118" s="10"/>
    </row>
    <row r="119" spans="1:20" ht="12.75">
      <c r="A119" s="1">
        <v>15357</v>
      </c>
      <c r="B119" s="14"/>
      <c r="C119" s="4"/>
      <c r="D119" s="12"/>
      <c r="E119" s="9"/>
      <c r="F119" s="10"/>
      <c r="G119" s="7"/>
      <c r="H119" s="10"/>
      <c r="I119" s="14"/>
      <c r="J119" s="14"/>
      <c r="M119" s="14"/>
      <c r="N119" s="14"/>
      <c r="O119" s="14"/>
      <c r="P119" s="14"/>
      <c r="Q119" s="14"/>
      <c r="R119" s="14"/>
      <c r="S119" s="14"/>
      <c r="T119" s="14"/>
    </row>
    <row r="122" spans="1:8" ht="12.75">
      <c r="A122" s="2"/>
      <c r="C122" s="4"/>
      <c r="D122" s="12"/>
      <c r="E122" s="7"/>
      <c r="F122" s="10"/>
      <c r="G122" s="7"/>
      <c r="H122" s="10"/>
    </row>
    <row r="147" spans="1:8" ht="12.75">
      <c r="A147" s="1"/>
      <c r="C147" s="4"/>
      <c r="E147" s="7"/>
      <c r="F147" s="10"/>
      <c r="G147" s="7"/>
      <c r="H147" s="11"/>
    </row>
    <row r="149" spans="1:8" ht="12.75">
      <c r="A149" s="2"/>
      <c r="C149" s="4"/>
      <c r="E149" s="7"/>
      <c r="F149" s="10"/>
      <c r="G149" s="7"/>
      <c r="H149" s="10"/>
    </row>
    <row r="177" ht="12.75">
      <c r="A177" s="2"/>
    </row>
    <row r="198" ht="12.75">
      <c r="A198" s="2"/>
    </row>
    <row r="216" ht="12.75">
      <c r="A216" s="2"/>
    </row>
    <row r="246" spans="1:3" ht="12.75">
      <c r="A246" s="1"/>
      <c r="C246" s="5"/>
    </row>
    <row r="249" spans="1:3" ht="12.75">
      <c r="A249" s="2"/>
      <c r="C249" s="4"/>
    </row>
    <row r="264" spans="3:8" ht="12.75">
      <c r="C264" s="4"/>
      <c r="D264" s="12"/>
      <c r="E264" s="7"/>
      <c r="F264" s="10"/>
      <c r="G264" s="7"/>
      <c r="H264" s="10"/>
    </row>
    <row r="274" spans="1:8" ht="12.75">
      <c r="A274" s="1"/>
      <c r="C274" s="4"/>
      <c r="D274" s="12"/>
      <c r="E274" s="7"/>
      <c r="F274" s="10"/>
      <c r="G274" s="7"/>
      <c r="H274" s="10"/>
    </row>
    <row r="275" spans="1:8" ht="12.75">
      <c r="A275" s="1"/>
      <c r="C275" s="4"/>
      <c r="D275" s="12"/>
      <c r="E275" s="8"/>
      <c r="F275" s="10"/>
      <c r="G275" s="7"/>
      <c r="H275" s="10"/>
    </row>
    <row r="277" spans="1:8" ht="12.75">
      <c r="A277" s="1"/>
      <c r="C277" s="4"/>
      <c r="D277" s="12"/>
      <c r="E277" s="7"/>
      <c r="F277" s="10"/>
      <c r="G277" s="7"/>
      <c r="H277" s="10"/>
    </row>
    <row r="278" spans="1:8" ht="12.75">
      <c r="A278" s="1"/>
      <c r="C278" s="4"/>
      <c r="D278" s="12"/>
      <c r="E278" s="7"/>
      <c r="F278" s="10"/>
      <c r="G278" s="7"/>
      <c r="H278" s="10"/>
    </row>
    <row r="280" spans="1:8" ht="12.75">
      <c r="A280" s="1"/>
      <c r="C280" s="5"/>
      <c r="D280" s="12"/>
      <c r="E280" s="7"/>
      <c r="F280" s="10"/>
      <c r="G280" s="7"/>
      <c r="H280" s="10"/>
    </row>
    <row r="283" spans="1:8" ht="12.75">
      <c r="A283" s="2"/>
      <c r="C283" s="4"/>
      <c r="D283" s="12"/>
      <c r="E283" s="7"/>
      <c r="F283" s="10"/>
      <c r="G283" s="7"/>
      <c r="H283" s="10"/>
    </row>
    <row r="288" spans="1:8" ht="12.75">
      <c r="A288" s="1"/>
      <c r="C288" s="5"/>
      <c r="D288" s="12"/>
      <c r="E288" s="8"/>
      <c r="F288" s="10"/>
      <c r="G288" s="7"/>
      <c r="H288" s="10"/>
    </row>
    <row r="291" ht="12.75">
      <c r="A291" s="2"/>
    </row>
    <row r="343" ht="12.75">
      <c r="E343" s="8"/>
    </row>
    <row r="449" spans="3:8" ht="12.75">
      <c r="C449" s="4"/>
      <c r="D449" s="12"/>
      <c r="E449" s="7"/>
      <c r="F449" s="10"/>
      <c r="G449" s="7"/>
      <c r="H449" s="10"/>
    </row>
    <row r="468" spans="3:8" ht="12.75">
      <c r="C468" s="4"/>
      <c r="D468" s="12"/>
      <c r="E468" s="7"/>
      <c r="F468" s="10"/>
      <c r="G468" s="7"/>
      <c r="H468" s="10"/>
    </row>
    <row r="476" spans="3:8" ht="12.75">
      <c r="C476" s="4"/>
      <c r="D476" s="12"/>
      <c r="E476" s="7"/>
      <c r="F476" s="10"/>
      <c r="G476" s="7"/>
      <c r="H476" s="10"/>
    </row>
    <row r="477" spans="3:8" ht="12.75">
      <c r="C477" s="4"/>
      <c r="D477" s="12"/>
      <c r="E477" s="7"/>
      <c r="F477" s="10"/>
      <c r="G477" s="7"/>
      <c r="H477" s="10"/>
    </row>
    <row r="478" spans="3:8" ht="12.75">
      <c r="C478" s="4"/>
      <c r="D478" s="12"/>
      <c r="E478" s="7"/>
      <c r="F478" s="10"/>
      <c r="G478" s="7"/>
      <c r="H478" s="10"/>
    </row>
    <row r="479" spans="3:8" ht="12.75">
      <c r="C479" s="5"/>
      <c r="D479" s="12"/>
      <c r="E479" s="7"/>
      <c r="F479" s="10"/>
      <c r="G479" s="7"/>
      <c r="H479" s="10"/>
    </row>
    <row r="482" spans="1:8" ht="12.75">
      <c r="A482" s="2"/>
      <c r="C482" s="4"/>
      <c r="D482" s="12"/>
      <c r="E482" s="7"/>
      <c r="F482" s="10"/>
      <c r="G482" s="7"/>
      <c r="H482" s="10"/>
    </row>
    <row r="486" spans="1:8" ht="12.75">
      <c r="A486" s="1"/>
      <c r="C486" s="4"/>
      <c r="D486" s="12"/>
      <c r="E486" s="7"/>
      <c r="F486" s="10"/>
      <c r="G486" s="7"/>
      <c r="H486" s="10"/>
    </row>
    <row r="490" spans="1:8" ht="12.75">
      <c r="A490" s="1"/>
      <c r="C490" s="4"/>
      <c r="D490" s="12"/>
      <c r="E490" s="7"/>
      <c r="F490" s="10"/>
      <c r="G490" s="7"/>
      <c r="H490" s="10"/>
    </row>
    <row r="560" ht="12.75">
      <c r="C560" s="5"/>
    </row>
    <row r="563" spans="1:8" ht="12.75">
      <c r="A563" s="2"/>
      <c r="C563" s="4"/>
      <c r="D563" s="12"/>
      <c r="E563" s="7"/>
      <c r="F563" s="10"/>
      <c r="G563" s="7"/>
      <c r="H563" s="10"/>
    </row>
    <row r="571" spans="1:8" ht="12.75">
      <c r="A571" s="1"/>
      <c r="C571" s="4"/>
      <c r="D571" s="12"/>
      <c r="E571" s="7"/>
      <c r="F571" s="10"/>
      <c r="G571" s="7"/>
      <c r="H571" s="10"/>
    </row>
    <row r="621" spans="3:8" ht="12.75">
      <c r="C621" s="4"/>
      <c r="D621" s="12"/>
      <c r="E621" s="7"/>
      <c r="F621" s="10"/>
      <c r="G621" s="7"/>
      <c r="H621" s="10"/>
    </row>
    <row r="622" spans="3:8" ht="12.75">
      <c r="C622" s="4"/>
      <c r="D622" s="12"/>
      <c r="E622" s="7"/>
      <c r="F622" s="10"/>
      <c r="G622" s="7"/>
      <c r="H622" s="10"/>
    </row>
    <row r="680" ht="12.75">
      <c r="E680" s="8"/>
    </row>
    <row r="713" ht="12.75">
      <c r="E713" s="8"/>
    </row>
    <row r="730" spans="1:3" ht="12.75">
      <c r="A730" s="1"/>
      <c r="C730" s="5"/>
    </row>
    <row r="733" spans="1:3" ht="12.75">
      <c r="A733" s="2"/>
      <c r="C73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2010-02-03T21:40:52Z</dcterms:created>
  <dcterms:modified xsi:type="dcterms:W3CDTF">2010-03-12T00:37:16Z</dcterms:modified>
  <cp:category/>
  <cp:version/>
  <cp:contentType/>
  <cp:contentStatus/>
</cp:coreProperties>
</file>