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tabRatio="887" activeTab="0"/>
  </bookViews>
  <sheets>
    <sheet name="jEditPercentages" sheetId="1" r:id="rId1"/>
    <sheet name="RawDatajEdit" sheetId="2" r:id="rId2"/>
  </sheets>
  <definedNames/>
  <calcPr fullCalcOnLoad="1"/>
</workbook>
</file>

<file path=xl/sharedStrings.xml><?xml version="1.0" encoding="utf-8"?>
<sst xmlns="http://schemas.openxmlformats.org/spreadsheetml/2006/main" count="101" uniqueCount="42">
  <si>
    <r>
      <t>IR</t>
    </r>
    <r>
      <rPr>
        <vertAlign val="subscript"/>
        <sz val="8"/>
        <color indexed="8"/>
        <rFont val="Times New Roman"/>
        <family val="1"/>
      </rPr>
      <t>LSI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</si>
  <si>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Dyn</t>
    </r>
    <r>
      <rPr>
        <vertAlign val="subscript"/>
        <sz val="10"/>
        <color indexed="8"/>
        <rFont val="Times New Roman"/>
        <family val="1"/>
      </rPr>
      <t>bin</t>
    </r>
  </si>
  <si>
    <r>
      <t>HITS(h)</t>
    </r>
    <r>
      <rPr>
        <vertAlign val="subscript"/>
        <sz val="10"/>
        <color indexed="8"/>
        <rFont val="Times New Roman"/>
        <family val="1"/>
      </rPr>
      <t xml:space="preserve"> bin</t>
    </r>
  </si>
  <si>
    <r>
      <t>HITS(h)</t>
    </r>
    <r>
      <rPr>
        <vertAlign val="subscript"/>
        <sz val="10"/>
        <color indexed="8"/>
        <rFont val="Times New Roman"/>
        <family val="1"/>
      </rPr>
      <t xml:space="preserve"> freq</t>
    </r>
  </si>
  <si>
    <r>
      <t>HITS(a)</t>
    </r>
    <r>
      <rPr>
        <vertAlign val="subscript"/>
        <sz val="10"/>
        <color indexed="8"/>
        <rFont val="Times New Roman"/>
        <family val="1"/>
      </rPr>
      <t xml:space="preserve"> bin</t>
    </r>
  </si>
  <si>
    <r>
      <t>HITS(a)</t>
    </r>
    <r>
      <rPr>
        <vertAlign val="subscript"/>
        <sz val="10"/>
        <color indexed="8"/>
        <rFont val="Times New Roman"/>
        <family val="1"/>
      </rPr>
      <t xml:space="preserve"> freq</t>
    </r>
  </si>
  <si>
    <t>X</t>
  </si>
  <si>
    <r>
      <t>WM</t>
    </r>
    <r>
      <rPr>
        <vertAlign val="subscript"/>
        <sz val="10"/>
        <color indexed="8"/>
        <rFont val="Times New Roman"/>
        <family val="1"/>
      </rPr>
      <t>PR(bin)</t>
    </r>
  </si>
  <si>
    <r>
      <t>WM</t>
    </r>
    <r>
      <rPr>
        <vertAlign val="subscript"/>
        <sz val="10"/>
        <color indexed="8"/>
        <rFont val="Times New Roman"/>
        <family val="1"/>
      </rPr>
      <t>PR(freq)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</si>
  <si>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PR(freq)</t>
    </r>
    <r>
      <rPr>
        <vertAlign val="superscript"/>
        <sz val="10"/>
        <color indexed="8"/>
        <rFont val="Times New Roman"/>
        <family val="1"/>
      </rPr>
      <t>top80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</si>
  <si>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PR(freq)</t>
    </r>
    <r>
      <rPr>
        <vertAlign val="superscript"/>
        <sz val="10"/>
        <color indexed="8"/>
        <rFont val="Times New Roman"/>
        <family val="1"/>
      </rPr>
      <t>bottom30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</si>
  <si>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PR(bin)</t>
    </r>
    <r>
      <rPr>
        <vertAlign val="superscript"/>
        <sz val="10"/>
        <color indexed="8"/>
        <rFont val="Times New Roman"/>
        <family val="1"/>
      </rPr>
      <t>top70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</si>
  <si>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PR(bin)</t>
    </r>
    <r>
      <rPr>
        <vertAlign val="superscript"/>
        <sz val="10"/>
        <color indexed="8"/>
        <rFont val="Times New Roman"/>
        <family val="1"/>
      </rPr>
      <t>bottom30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</si>
  <si>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HITS(a, freq)</t>
    </r>
    <r>
      <rPr>
        <vertAlign val="superscript"/>
        <sz val="10"/>
        <color indexed="8"/>
        <rFont val="Times New Roman"/>
        <family val="1"/>
      </rPr>
      <t>top40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</si>
  <si>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HITS(a, freq)</t>
    </r>
    <r>
      <rPr>
        <vertAlign val="superscript"/>
        <sz val="10"/>
        <color indexed="8"/>
        <rFont val="Times New Roman"/>
        <family val="1"/>
      </rPr>
      <t>bottom60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</si>
  <si>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HITS(h, freq)</t>
    </r>
    <r>
      <rPr>
        <vertAlign val="superscript"/>
        <sz val="10"/>
        <color indexed="8"/>
        <rFont val="Times New Roman"/>
        <family val="1"/>
      </rPr>
      <t>top20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</si>
  <si>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HITS(h, freq)</t>
    </r>
    <r>
      <rPr>
        <vertAlign val="superscript"/>
        <sz val="10"/>
        <color indexed="8"/>
        <rFont val="Times New Roman"/>
        <family val="1"/>
      </rPr>
      <t>bottom80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</si>
  <si>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HITS(a, bin)</t>
    </r>
    <r>
      <rPr>
        <vertAlign val="superscript"/>
        <sz val="10"/>
        <color indexed="8"/>
        <rFont val="Times New Roman"/>
        <family val="1"/>
      </rPr>
      <t>top40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</si>
  <si>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HITS(a, bin)</t>
    </r>
    <r>
      <rPr>
        <vertAlign val="superscript"/>
        <sz val="10"/>
        <color indexed="8"/>
        <rFont val="Times New Roman"/>
        <family val="1"/>
      </rPr>
      <t>bottom60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</si>
  <si>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HITS(h, bin)</t>
    </r>
    <r>
      <rPr>
        <vertAlign val="superscript"/>
        <sz val="10"/>
        <color indexed="8"/>
        <rFont val="Times New Roman"/>
        <family val="1"/>
      </rPr>
      <t>top20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</si>
  <si>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WM</t>
    </r>
    <r>
      <rPr>
        <vertAlign val="subscript"/>
        <sz val="10"/>
        <color indexed="8"/>
        <rFont val="Times New Roman"/>
        <family val="1"/>
      </rPr>
      <t>HITS(h, bin)</t>
    </r>
    <r>
      <rPr>
        <vertAlign val="superscript"/>
        <sz val="10"/>
        <color indexed="8"/>
        <rFont val="Times New Roman"/>
        <family val="1"/>
      </rPr>
      <t>bottom80</t>
    </r>
  </si>
  <si>
    <t>Percentages jEdit</t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</si>
  <si>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Dyn</t>
    </r>
    <r>
      <rPr>
        <b/>
        <vertAlign val="subscript"/>
        <sz val="10"/>
        <color indexed="8"/>
        <rFont val="Times New Roman"/>
        <family val="1"/>
      </rPr>
      <t>bin</t>
    </r>
  </si>
  <si>
    <r>
      <t>IR</t>
    </r>
    <r>
      <rPr>
        <b/>
        <vertAlign val="subscript"/>
        <sz val="8"/>
        <color indexed="8"/>
        <rFont val="Times New Roman"/>
        <family val="1"/>
      </rPr>
      <t>LSI</t>
    </r>
  </si>
  <si>
    <r>
      <t>WM</t>
    </r>
    <r>
      <rPr>
        <b/>
        <vertAlign val="subscript"/>
        <sz val="10"/>
        <color indexed="8"/>
        <rFont val="Times New Roman"/>
        <family val="1"/>
      </rPr>
      <t>PR(freq)</t>
    </r>
  </si>
  <si>
    <r>
      <t>WM</t>
    </r>
    <r>
      <rPr>
        <b/>
        <vertAlign val="subscript"/>
        <sz val="10"/>
        <color indexed="8"/>
        <rFont val="Times New Roman"/>
        <family val="1"/>
      </rPr>
      <t>PR(bin)</t>
    </r>
  </si>
  <si>
    <r>
      <t>HITS(a)</t>
    </r>
    <r>
      <rPr>
        <b/>
        <vertAlign val="subscript"/>
        <sz val="10"/>
        <color indexed="8"/>
        <rFont val="Times New Roman"/>
        <family val="1"/>
      </rPr>
      <t xml:space="preserve"> freq</t>
    </r>
  </si>
  <si>
    <r>
      <t>HITS(a)</t>
    </r>
    <r>
      <rPr>
        <b/>
        <vertAlign val="subscript"/>
        <sz val="10"/>
        <color indexed="8"/>
        <rFont val="Times New Roman"/>
        <family val="1"/>
      </rPr>
      <t xml:space="preserve"> bin</t>
    </r>
  </si>
  <si>
    <r>
      <t>HITS(h)</t>
    </r>
    <r>
      <rPr>
        <b/>
        <vertAlign val="subscript"/>
        <sz val="10"/>
        <color indexed="8"/>
        <rFont val="Times New Roman"/>
        <family val="1"/>
      </rPr>
      <t xml:space="preserve"> freq</t>
    </r>
  </si>
  <si>
    <r>
      <t>HITS(h)</t>
    </r>
    <r>
      <rPr>
        <b/>
        <vertAlign val="subscript"/>
        <sz val="10"/>
        <color indexed="8"/>
        <rFont val="Times New Roman"/>
        <family val="1"/>
      </rPr>
      <t xml:space="preserve"> bin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</si>
  <si>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PR(freq)</t>
    </r>
    <r>
      <rPr>
        <b/>
        <vertAlign val="superscript"/>
        <sz val="10"/>
        <color indexed="8"/>
        <rFont val="Times New Roman"/>
        <family val="1"/>
      </rPr>
      <t>top80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</si>
  <si>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PR(freq)</t>
    </r>
    <r>
      <rPr>
        <b/>
        <vertAlign val="superscript"/>
        <sz val="10"/>
        <color indexed="8"/>
        <rFont val="Times New Roman"/>
        <family val="1"/>
      </rPr>
      <t>bottom30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</si>
  <si>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PR(bin)</t>
    </r>
    <r>
      <rPr>
        <b/>
        <vertAlign val="superscript"/>
        <sz val="10"/>
        <color indexed="8"/>
        <rFont val="Times New Roman"/>
        <family val="1"/>
      </rPr>
      <t>top70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</si>
  <si>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PR(bin)</t>
    </r>
    <r>
      <rPr>
        <b/>
        <vertAlign val="superscript"/>
        <sz val="10"/>
        <color indexed="8"/>
        <rFont val="Times New Roman"/>
        <family val="1"/>
      </rPr>
      <t>bottom30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</si>
  <si>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HITS(a, freq)</t>
    </r>
    <r>
      <rPr>
        <b/>
        <vertAlign val="superscript"/>
        <sz val="10"/>
        <color indexed="8"/>
        <rFont val="Times New Roman"/>
        <family val="1"/>
      </rPr>
      <t>top40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</si>
  <si>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HITS(a, freq)</t>
    </r>
    <r>
      <rPr>
        <b/>
        <vertAlign val="superscript"/>
        <sz val="10"/>
        <color indexed="8"/>
        <rFont val="Times New Roman"/>
        <family val="1"/>
      </rPr>
      <t>bottom60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</si>
  <si>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HITS(h, freq)</t>
    </r>
    <r>
      <rPr>
        <b/>
        <vertAlign val="superscript"/>
        <sz val="10"/>
        <color indexed="8"/>
        <rFont val="Times New Roman"/>
        <family val="1"/>
      </rPr>
      <t>top20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</si>
  <si>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HITS(h, freq)</t>
    </r>
    <r>
      <rPr>
        <b/>
        <vertAlign val="superscript"/>
        <sz val="10"/>
        <color indexed="8"/>
        <rFont val="Times New Roman"/>
        <family val="1"/>
      </rPr>
      <t>bottom80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</si>
  <si>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HITS(a, bin)</t>
    </r>
    <r>
      <rPr>
        <b/>
        <vertAlign val="superscript"/>
        <sz val="10"/>
        <color indexed="8"/>
        <rFont val="Times New Roman"/>
        <family val="1"/>
      </rPr>
      <t>top40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</si>
  <si>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HITS(a, bin)</t>
    </r>
    <r>
      <rPr>
        <b/>
        <vertAlign val="superscript"/>
        <sz val="10"/>
        <color indexed="8"/>
        <rFont val="Times New Roman"/>
        <family val="1"/>
      </rPr>
      <t>bottom60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</si>
  <si>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HITS(h, bin)</t>
    </r>
    <r>
      <rPr>
        <b/>
        <vertAlign val="superscript"/>
        <sz val="10"/>
        <color indexed="8"/>
        <rFont val="Times New Roman"/>
        <family val="1"/>
      </rPr>
      <t>top20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</si>
  <si>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WM</t>
    </r>
    <r>
      <rPr>
        <b/>
        <vertAlign val="subscript"/>
        <sz val="10"/>
        <color indexed="8"/>
        <rFont val="Times New Roman"/>
        <family val="1"/>
      </rPr>
      <t>HITS(h, bin)</t>
    </r>
    <r>
      <rPr>
        <b/>
        <vertAlign val="superscript"/>
        <sz val="10"/>
        <color indexed="8"/>
        <rFont val="Times New Roman"/>
        <family val="1"/>
      </rPr>
      <t>bottom80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</si>
</sst>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2" fillId="0" borderId="0" xfId="55">
      <alignment/>
      <protection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9" fontId="43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3 2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22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22.140625" style="0" bestFit="1" customWidth="1"/>
    <col min="2" max="2" width="8.57421875" style="0" bestFit="1" customWidth="1"/>
    <col min="3" max="3" width="10.00390625" style="0" bestFit="1" customWidth="1"/>
    <col min="4" max="4" width="9.28125" style="0" bestFit="1" customWidth="1"/>
    <col min="5" max="5" width="9.140625" style="0" bestFit="1" customWidth="1"/>
    <col min="6" max="6" width="9.421875" style="0" bestFit="1" customWidth="1"/>
    <col min="7" max="7" width="9.28125" style="0" bestFit="1" customWidth="1"/>
    <col min="8" max="8" width="9.57421875" style="0" bestFit="1" customWidth="1"/>
    <col min="9" max="9" width="9.421875" style="0" bestFit="1" customWidth="1"/>
    <col min="10" max="10" width="16.421875" style="0" bestFit="1" customWidth="1"/>
    <col min="11" max="11" width="18.57421875" style="0" bestFit="1" customWidth="1"/>
    <col min="12" max="12" width="16.28125" style="0" bestFit="1" customWidth="1"/>
    <col min="13" max="13" width="18.421875" style="0" bestFit="1" customWidth="1"/>
    <col min="14" max="14" width="18.8515625" style="0" bestFit="1" customWidth="1"/>
    <col min="15" max="15" width="20.8515625" style="0" bestFit="1" customWidth="1"/>
    <col min="16" max="16" width="19.00390625" style="0" bestFit="1" customWidth="1"/>
    <col min="17" max="17" width="21.00390625" style="0" bestFit="1" customWidth="1"/>
    <col min="18" max="18" width="18.7109375" style="0" bestFit="1" customWidth="1"/>
    <col min="19" max="19" width="20.7109375" style="0" bestFit="1" customWidth="1"/>
    <col min="20" max="20" width="18.8515625" style="0" bestFit="1" customWidth="1"/>
    <col min="21" max="21" width="20.8515625" style="0" bestFit="1" customWidth="1"/>
    <col min="22" max="22" width="22.140625" style="0" bestFit="1" customWidth="1"/>
  </cols>
  <sheetData>
    <row r="1" spans="1:21" ht="16.5">
      <c r="A1" s="17" t="s">
        <v>21</v>
      </c>
      <c r="B1" s="18" t="s">
        <v>23</v>
      </c>
      <c r="C1" s="16" t="s">
        <v>22</v>
      </c>
      <c r="D1" s="3" t="s">
        <v>8</v>
      </c>
      <c r="E1" s="3" t="s">
        <v>7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2" ht="13.5">
      <c r="A2" s="18" t="s">
        <v>23</v>
      </c>
      <c r="B2" s="19" t="s">
        <v>6</v>
      </c>
      <c r="C2" s="19">
        <f>1/150</f>
        <v>0.006666666666666667</v>
      </c>
      <c r="D2" s="20">
        <f>132/150</f>
        <v>0.88</v>
      </c>
      <c r="E2" s="20">
        <f>131/150</f>
        <v>0.8733333333333333</v>
      </c>
      <c r="F2" s="20">
        <f>118/150</f>
        <v>0.7866666666666666</v>
      </c>
      <c r="G2" s="20">
        <f>125/150</f>
        <v>0.8333333333333334</v>
      </c>
      <c r="H2" s="20">
        <f>93/150</f>
        <v>0.62</v>
      </c>
      <c r="I2" s="20">
        <f>108/150</f>
        <v>0.72</v>
      </c>
      <c r="J2" s="20">
        <f>15/102</f>
        <v>0.14705882352941177</v>
      </c>
      <c r="K2" s="20">
        <f>17/107</f>
        <v>0.1588785046728972</v>
      </c>
      <c r="L2" s="20">
        <f>12/109</f>
        <v>0.11009174311926606</v>
      </c>
      <c r="M2" s="20">
        <f>13/104</f>
        <v>0.125</v>
      </c>
      <c r="N2" s="20">
        <f>14/109</f>
        <v>0.12844036697247707</v>
      </c>
      <c r="O2" s="20">
        <f>11/110</f>
        <v>0.1</v>
      </c>
      <c r="P2" s="20">
        <f>19/100</f>
        <v>0.19</v>
      </c>
      <c r="Q2" s="20">
        <f>5/116</f>
        <v>0.04310344827586207</v>
      </c>
      <c r="R2" s="20">
        <f>16/108</f>
        <v>0.14814814814814814</v>
      </c>
      <c r="S2" s="20">
        <f>6/109</f>
        <v>0.05504587155963303</v>
      </c>
      <c r="T2" s="20">
        <f>20/112</f>
        <v>0.17857142857142858</v>
      </c>
      <c r="U2" s="20">
        <f>3/101</f>
        <v>0.0297029702970297</v>
      </c>
      <c r="V2" s="18" t="s">
        <v>23</v>
      </c>
    </row>
    <row r="3" spans="1:22" ht="14.25">
      <c r="A3" s="16" t="s">
        <v>22</v>
      </c>
      <c r="B3" s="19">
        <f>124/150</f>
        <v>0.8266666666666667</v>
      </c>
      <c r="C3" s="19" t="s">
        <v>6</v>
      </c>
      <c r="D3" s="20">
        <f>147/150</f>
        <v>0.98</v>
      </c>
      <c r="E3" s="20">
        <f>147/150</f>
        <v>0.98</v>
      </c>
      <c r="F3" s="20">
        <f>137/150</f>
        <v>0.9133333333333333</v>
      </c>
      <c r="G3" s="20">
        <f>145/150</f>
        <v>0.9666666666666667</v>
      </c>
      <c r="H3" s="20">
        <f>123/150</f>
        <v>0.82</v>
      </c>
      <c r="I3" s="20">
        <f>134/150</f>
        <v>0.8933333333333333</v>
      </c>
      <c r="J3" s="20">
        <f>22/102</f>
        <v>0.21568627450980393</v>
      </c>
      <c r="K3" s="20">
        <f>27/107</f>
        <v>0.2523364485981308</v>
      </c>
      <c r="L3" s="20">
        <f>19/109</f>
        <v>0.1743119266055046</v>
      </c>
      <c r="M3" s="20">
        <f>24/104</f>
        <v>0.23076923076923078</v>
      </c>
      <c r="N3" s="20">
        <f>18/109</f>
        <v>0.1651376146788991</v>
      </c>
      <c r="O3" s="20">
        <f>21/110</f>
        <v>0.19090909090909092</v>
      </c>
      <c r="P3" s="20">
        <f>29/100</f>
        <v>0.29</v>
      </c>
      <c r="Q3" s="20">
        <f>7/116</f>
        <v>0.0603448275862069</v>
      </c>
      <c r="R3" s="20">
        <f>23/108</f>
        <v>0.21296296296296297</v>
      </c>
      <c r="S3" s="20">
        <f>15/109</f>
        <v>0.13761467889908258</v>
      </c>
      <c r="T3" s="20">
        <f>35/112</f>
        <v>0.3125</v>
      </c>
      <c r="U3" s="20">
        <f>6/101</f>
        <v>0.0594059405940594</v>
      </c>
      <c r="V3" s="16" t="s">
        <v>22</v>
      </c>
    </row>
    <row r="4" spans="1:22" ht="14.25">
      <c r="A4" s="16" t="s">
        <v>24</v>
      </c>
      <c r="B4" s="19">
        <f>18/150</f>
        <v>0.12</v>
      </c>
      <c r="C4" s="19">
        <f>3/150</f>
        <v>0.02</v>
      </c>
      <c r="D4" s="20" t="s">
        <v>6</v>
      </c>
      <c r="E4" s="20">
        <f>58/150</f>
        <v>0.38666666666666666</v>
      </c>
      <c r="F4" s="20">
        <f>32/150</f>
        <v>0.21333333333333335</v>
      </c>
      <c r="G4" s="20">
        <f>36/150</f>
        <v>0.24</v>
      </c>
      <c r="H4" s="20">
        <f>14/150</f>
        <v>0.09333333333333334</v>
      </c>
      <c r="I4" s="20">
        <f>24/150</f>
        <v>0.16</v>
      </c>
      <c r="J4" s="20">
        <f>0/102</f>
        <v>0</v>
      </c>
      <c r="K4" s="20">
        <f>4/107</f>
        <v>0.037383177570093455</v>
      </c>
      <c r="L4" s="20">
        <f>2/109</f>
        <v>0.01834862385321101</v>
      </c>
      <c r="M4" s="20">
        <f>4/104</f>
        <v>0.038461538461538464</v>
      </c>
      <c r="N4" s="20">
        <f>1/109</f>
        <v>0.009174311926605505</v>
      </c>
      <c r="O4" s="20">
        <f>1/110</f>
        <v>0.00909090909090909</v>
      </c>
      <c r="P4" s="20">
        <f>4/100</f>
        <v>0.04</v>
      </c>
      <c r="Q4" s="20">
        <f>1/116</f>
        <v>0.008620689655172414</v>
      </c>
      <c r="R4" s="20">
        <f>2/108</f>
        <v>0.018518518518518517</v>
      </c>
      <c r="S4" s="20">
        <f>0/109</f>
        <v>0</v>
      </c>
      <c r="T4" s="20">
        <f>5/112</f>
        <v>0.044642857142857144</v>
      </c>
      <c r="U4" s="20">
        <f>0/101</f>
        <v>0</v>
      </c>
      <c r="V4" s="16" t="s">
        <v>24</v>
      </c>
    </row>
    <row r="5" spans="1:22" ht="14.25">
      <c r="A5" s="16" t="s">
        <v>25</v>
      </c>
      <c r="B5" s="19">
        <f>19/150</f>
        <v>0.12666666666666668</v>
      </c>
      <c r="C5" s="19">
        <f>3/150</f>
        <v>0.02</v>
      </c>
      <c r="D5" s="20">
        <f>87/150</f>
        <v>0.58</v>
      </c>
      <c r="E5" s="20" t="s">
        <v>6</v>
      </c>
      <c r="F5" s="20">
        <f>36/150</f>
        <v>0.24</v>
      </c>
      <c r="G5" s="20">
        <f>40/150</f>
        <v>0.26666666666666666</v>
      </c>
      <c r="H5" s="20">
        <f>16/150</f>
        <v>0.10666666666666667</v>
      </c>
      <c r="I5" s="20">
        <f>25/150</f>
        <v>0.16666666666666666</v>
      </c>
      <c r="J5" s="20">
        <f>0/102</f>
        <v>0</v>
      </c>
      <c r="K5" s="20">
        <f>5/107</f>
        <v>0.04672897196261682</v>
      </c>
      <c r="L5" s="20">
        <f>2/109</f>
        <v>0.01834862385321101</v>
      </c>
      <c r="M5" s="20">
        <f>5/104</f>
        <v>0.04807692307692308</v>
      </c>
      <c r="N5" s="20">
        <f>2/109</f>
        <v>0.01834862385321101</v>
      </c>
      <c r="O5" s="20">
        <f>1/110</f>
        <v>0.00909090909090909</v>
      </c>
      <c r="P5" s="20">
        <f>4/100</f>
        <v>0.04</v>
      </c>
      <c r="Q5" s="20">
        <f>2/116</f>
        <v>0.017241379310344827</v>
      </c>
      <c r="R5" s="20">
        <f>4/108</f>
        <v>0.037037037037037035</v>
      </c>
      <c r="S5" s="20">
        <f>0/109</f>
        <v>0</v>
      </c>
      <c r="T5" s="20">
        <f>6/112</f>
        <v>0.05357142857142857</v>
      </c>
      <c r="U5" s="20">
        <f>0/101</f>
        <v>0</v>
      </c>
      <c r="V5" s="16" t="s">
        <v>25</v>
      </c>
    </row>
    <row r="6" spans="1:22" ht="14.25">
      <c r="A6" s="16" t="s">
        <v>26</v>
      </c>
      <c r="B6" s="19">
        <f>32/150</f>
        <v>0.21333333333333335</v>
      </c>
      <c r="C6" s="19">
        <f>12/150</f>
        <v>0.08</v>
      </c>
      <c r="D6" s="20">
        <f>115/150</f>
        <v>0.7666666666666667</v>
      </c>
      <c r="E6" s="20">
        <f>111/150</f>
        <v>0.74</v>
      </c>
      <c r="F6" s="20" t="s">
        <v>6</v>
      </c>
      <c r="G6" s="20">
        <f>72/150</f>
        <v>0.48</v>
      </c>
      <c r="H6" s="20">
        <f>22/150</f>
        <v>0.14666666666666667</v>
      </c>
      <c r="I6" s="20">
        <f>53/150</f>
        <v>0.35333333333333333</v>
      </c>
      <c r="J6" s="20">
        <f>5/102</f>
        <v>0.049019607843137254</v>
      </c>
      <c r="K6" s="20">
        <f>10/107</f>
        <v>0.09345794392523364</v>
      </c>
      <c r="L6" s="20">
        <f>6/109</f>
        <v>0.05504587155963303</v>
      </c>
      <c r="M6" s="20">
        <f>7/104</f>
        <v>0.0673076923076923</v>
      </c>
      <c r="N6" s="20">
        <f>6/109</f>
        <v>0.05504587155963303</v>
      </c>
      <c r="O6" s="20">
        <f>6/110</f>
        <v>0.05454545454545454</v>
      </c>
      <c r="P6" s="20">
        <f>9/100</f>
        <v>0.09</v>
      </c>
      <c r="Q6" s="20">
        <f>7/116</f>
        <v>0.0603448275862069</v>
      </c>
      <c r="R6" s="20">
        <f>9/108</f>
        <v>0.08333333333333333</v>
      </c>
      <c r="S6" s="20">
        <f>4/109</f>
        <v>0.03669724770642202</v>
      </c>
      <c r="T6" s="20">
        <f>18/112</f>
        <v>0.16071428571428573</v>
      </c>
      <c r="U6" s="20">
        <f>2/101</f>
        <v>0.019801980198019802</v>
      </c>
      <c r="V6" s="16" t="s">
        <v>26</v>
      </c>
    </row>
    <row r="7" spans="1:22" ht="14.25">
      <c r="A7" s="16" t="s">
        <v>27</v>
      </c>
      <c r="B7" s="19">
        <f>25/150</f>
        <v>0.16666666666666666</v>
      </c>
      <c r="C7" s="19">
        <f>5/150</f>
        <v>0.03333333333333333</v>
      </c>
      <c r="D7" s="20">
        <f>110/150</f>
        <v>0.7333333333333333</v>
      </c>
      <c r="E7" s="20">
        <f>106/150</f>
        <v>0.7066666666666667</v>
      </c>
      <c r="F7" s="20">
        <f>75/150</f>
        <v>0.5</v>
      </c>
      <c r="G7" s="20" t="s">
        <v>6</v>
      </c>
      <c r="H7" s="20">
        <f>33/150</f>
        <v>0.22</v>
      </c>
      <c r="I7" s="20">
        <f>34/150</f>
        <v>0.22666666666666666</v>
      </c>
      <c r="J7" s="20">
        <f>4/102</f>
        <v>0.0392156862745098</v>
      </c>
      <c r="K7" s="20">
        <f>7/107</f>
        <v>0.06542056074766354</v>
      </c>
      <c r="L7" s="20">
        <f>6/109</f>
        <v>0.05504587155963303</v>
      </c>
      <c r="M7" s="20">
        <f>5/104</f>
        <v>0.04807692307692308</v>
      </c>
      <c r="N7" s="20">
        <f>4/109</f>
        <v>0.03669724770642202</v>
      </c>
      <c r="O7" s="20">
        <f>4/110</f>
        <v>0.03636363636363636</v>
      </c>
      <c r="P7" s="20">
        <f>7/100</f>
        <v>0.07</v>
      </c>
      <c r="Q7" s="20">
        <f>3/116</f>
        <v>0.02586206896551724</v>
      </c>
      <c r="R7" s="20">
        <f>6/108</f>
        <v>0.05555555555555555</v>
      </c>
      <c r="S7" s="20">
        <f>5/109</f>
        <v>0.045871559633027525</v>
      </c>
      <c r="T7" s="20">
        <f>10/112</f>
        <v>0.08928571428571429</v>
      </c>
      <c r="U7" s="20">
        <f>0/101</f>
        <v>0</v>
      </c>
      <c r="V7" s="16" t="s">
        <v>27</v>
      </c>
    </row>
    <row r="8" spans="1:22" ht="14.25">
      <c r="A8" s="16" t="s">
        <v>28</v>
      </c>
      <c r="B8" s="19">
        <f>57/150</f>
        <v>0.38</v>
      </c>
      <c r="C8" s="19">
        <f>26/150</f>
        <v>0.17333333333333334</v>
      </c>
      <c r="D8" s="20">
        <f>136/150</f>
        <v>0.9066666666666666</v>
      </c>
      <c r="E8" s="20">
        <f>134/150</f>
        <v>0.8933333333333333</v>
      </c>
      <c r="F8" s="20">
        <f>126/150</f>
        <v>0.84</v>
      </c>
      <c r="G8" s="20">
        <f>117/150</f>
        <v>0.78</v>
      </c>
      <c r="H8" s="20" t="s">
        <v>6</v>
      </c>
      <c r="I8" s="20">
        <f>84/150</f>
        <v>0.56</v>
      </c>
      <c r="J8" s="20">
        <f>9/102</f>
        <v>0.08823529411764706</v>
      </c>
      <c r="K8" s="20">
        <f>18/107</f>
        <v>0.16822429906542055</v>
      </c>
      <c r="L8" s="20">
        <f>10/109</f>
        <v>0.09174311926605505</v>
      </c>
      <c r="M8" s="20">
        <f>15/104</f>
        <v>0.14423076923076922</v>
      </c>
      <c r="N8" s="20">
        <f>10/109</f>
        <v>0.09174311926605505</v>
      </c>
      <c r="O8" s="20">
        <f>17/110</f>
        <v>0.15454545454545454</v>
      </c>
      <c r="P8" s="20">
        <f>18/100</f>
        <v>0.18</v>
      </c>
      <c r="Q8" s="20">
        <f>11/116</f>
        <v>0.09482758620689655</v>
      </c>
      <c r="R8" s="20">
        <f>15/108</f>
        <v>0.1388888888888889</v>
      </c>
      <c r="S8" s="20">
        <f>13/109</f>
        <v>0.11926605504587157</v>
      </c>
      <c r="T8" s="20">
        <f>29/112</f>
        <v>0.25892857142857145</v>
      </c>
      <c r="U8" s="20">
        <f>2/101</f>
        <v>0.019801980198019802</v>
      </c>
      <c r="V8" s="16" t="s">
        <v>28</v>
      </c>
    </row>
    <row r="9" spans="1:22" ht="14.25">
      <c r="A9" s="16" t="s">
        <v>29</v>
      </c>
      <c r="B9" s="19">
        <f>39/150</f>
        <v>0.26</v>
      </c>
      <c r="C9" s="19">
        <f>13/150</f>
        <v>0.08666666666666667</v>
      </c>
      <c r="D9" s="20">
        <f>126/150</f>
        <v>0.84</v>
      </c>
      <c r="E9" s="20">
        <f>125/150</f>
        <v>0.8333333333333334</v>
      </c>
      <c r="F9" s="20">
        <f>96/150</f>
        <v>0.64</v>
      </c>
      <c r="G9" s="20">
        <f>115/150</f>
        <v>0.7666666666666667</v>
      </c>
      <c r="H9" s="20">
        <f>59/150</f>
        <v>0.3933333333333333</v>
      </c>
      <c r="I9" s="20" t="s">
        <v>6</v>
      </c>
      <c r="J9" s="20">
        <f>6/102</f>
        <v>0.058823529411764705</v>
      </c>
      <c r="K9" s="20">
        <f>16/107</f>
        <v>0.14953271028037382</v>
      </c>
      <c r="L9" s="20">
        <f>5/109</f>
        <v>0.045871559633027525</v>
      </c>
      <c r="M9" s="20">
        <f>11/104</f>
        <v>0.10576923076923077</v>
      </c>
      <c r="N9" s="20">
        <f>11/109</f>
        <v>0.10091743119266056</v>
      </c>
      <c r="O9" s="20">
        <f>7/110</f>
        <v>0.06363636363636363</v>
      </c>
      <c r="P9" s="20">
        <f>16/100</f>
        <v>0.16</v>
      </c>
      <c r="Q9" s="20">
        <f>2/116</f>
        <v>0.017241379310344827</v>
      </c>
      <c r="R9" s="20">
        <f>12/108</f>
        <v>0.1111111111111111</v>
      </c>
      <c r="S9" s="20">
        <f>7/109</f>
        <v>0.06422018348623854</v>
      </c>
      <c r="T9" s="20">
        <f>17/112</f>
        <v>0.15178571428571427</v>
      </c>
      <c r="U9" s="20">
        <f>2/101</f>
        <v>0.019801980198019802</v>
      </c>
      <c r="V9" s="16" t="s">
        <v>29</v>
      </c>
    </row>
    <row r="10" spans="1:22" ht="16.5">
      <c r="A10" s="16" t="s">
        <v>30</v>
      </c>
      <c r="B10" s="19">
        <f>76/102</f>
        <v>0.7450980392156863</v>
      </c>
      <c r="C10" s="19">
        <f>59/102</f>
        <v>0.5784313725490197</v>
      </c>
      <c r="D10" s="20">
        <f>102/102</f>
        <v>1</v>
      </c>
      <c r="E10" s="20">
        <f>102/102</f>
        <v>1</v>
      </c>
      <c r="F10" s="20">
        <f>97/102</f>
        <v>0.9509803921568627</v>
      </c>
      <c r="G10" s="20">
        <f>98/102</f>
        <v>0.9607843137254902</v>
      </c>
      <c r="H10" s="20">
        <f>92/102</f>
        <v>0.9019607843137255</v>
      </c>
      <c r="I10" s="20">
        <f>96/102</f>
        <v>0.9411764705882353</v>
      </c>
      <c r="J10" s="20" t="s">
        <v>6</v>
      </c>
      <c r="K10" s="20">
        <f>33/65</f>
        <v>0.5076923076923077</v>
      </c>
      <c r="L10" s="20">
        <f>49/94</f>
        <v>0.5212765957446809</v>
      </c>
      <c r="M10" s="20">
        <f>32/66</f>
        <v>0.48484848484848486</v>
      </c>
      <c r="N10" s="20">
        <f>37/77</f>
        <v>0.4805194805194805</v>
      </c>
      <c r="O10" s="20">
        <f>44/83</f>
        <v>0.5301204819277109</v>
      </c>
      <c r="P10" s="20">
        <f>46/76</f>
        <v>0.6052631578947368</v>
      </c>
      <c r="Q10" s="20">
        <f>24/82</f>
        <v>0.2926829268292683</v>
      </c>
      <c r="R10" s="20">
        <f>35/73</f>
        <v>0.4794520547945205</v>
      </c>
      <c r="S10" s="20">
        <f>45/86</f>
        <v>0.5232558139534884</v>
      </c>
      <c r="T10" s="20">
        <f>47/78</f>
        <v>0.6025641025641025</v>
      </c>
      <c r="U10" s="20">
        <f>17/77</f>
        <v>0.22077922077922077</v>
      </c>
      <c r="V10" s="16" t="s">
        <v>30</v>
      </c>
    </row>
    <row r="11" spans="1:22" ht="16.5">
      <c r="A11" s="16" t="s">
        <v>31</v>
      </c>
      <c r="B11" s="19">
        <f>80/107</f>
        <v>0.7476635514018691</v>
      </c>
      <c r="C11" s="19">
        <f>63/107</f>
        <v>0.5887850467289719</v>
      </c>
      <c r="D11" s="20">
        <f>103/107</f>
        <v>0.9626168224299065</v>
      </c>
      <c r="E11" s="20">
        <f>101/107</f>
        <v>0.9439252336448598</v>
      </c>
      <c r="F11" s="20">
        <f>96/107</f>
        <v>0.897196261682243</v>
      </c>
      <c r="G11" s="20">
        <f>99/107</f>
        <v>0.9252336448598131</v>
      </c>
      <c r="H11" s="20">
        <f>87/107</f>
        <v>0.8130841121495327</v>
      </c>
      <c r="I11" s="20">
        <f>89/107</f>
        <v>0.8317757009345794</v>
      </c>
      <c r="J11" s="20">
        <f>23/65</f>
        <v>0.35384615384615387</v>
      </c>
      <c r="K11" s="20" t="s">
        <v>6</v>
      </c>
      <c r="L11" s="20">
        <f>22/67</f>
        <v>0.3283582089552239</v>
      </c>
      <c r="M11" s="20">
        <f>34/101</f>
        <v>0.33663366336633666</v>
      </c>
      <c r="N11" s="20">
        <f>24/87</f>
        <v>0.27586206896551724</v>
      </c>
      <c r="O11" s="20">
        <f>35/85</f>
        <v>0.4117647058823529</v>
      </c>
      <c r="P11" s="20">
        <f>44/82</f>
        <v>0.5365853658536586</v>
      </c>
      <c r="Q11" s="20">
        <f>20/87</f>
        <v>0.22988505747126436</v>
      </c>
      <c r="R11" s="20">
        <f>23/89</f>
        <v>0.25842696629213485</v>
      </c>
      <c r="S11" s="20">
        <f>24/79</f>
        <v>0.3037974683544304</v>
      </c>
      <c r="T11" s="20">
        <f>54/88</f>
        <v>0.6136363636363636</v>
      </c>
      <c r="U11" s="20">
        <f>14/78</f>
        <v>0.1794871794871795</v>
      </c>
      <c r="V11" s="16" t="s">
        <v>31</v>
      </c>
    </row>
    <row r="12" spans="1:22" ht="16.5">
      <c r="A12" s="16" t="s">
        <v>32</v>
      </c>
      <c r="B12" s="19">
        <f>81/109</f>
        <v>0.7431192660550459</v>
      </c>
      <c r="C12" s="19">
        <f>65/109</f>
        <v>0.5963302752293578</v>
      </c>
      <c r="D12" s="20">
        <f>107/109</f>
        <v>0.981651376146789</v>
      </c>
      <c r="E12" s="20">
        <f>107/109</f>
        <v>0.981651376146789</v>
      </c>
      <c r="F12" s="20">
        <f>103/109</f>
        <v>0.944954128440367</v>
      </c>
      <c r="G12" s="20">
        <f>103/109</f>
        <v>0.944954128440367</v>
      </c>
      <c r="H12" s="20">
        <f>97/109</f>
        <v>0.8899082568807339</v>
      </c>
      <c r="I12" s="20">
        <f>103/109</f>
        <v>0.944954128440367</v>
      </c>
      <c r="J12" s="20">
        <f>11/94</f>
        <v>0.11702127659574468</v>
      </c>
      <c r="K12" s="20">
        <f>35/67</f>
        <v>0.5223880597014925</v>
      </c>
      <c r="L12" s="20" t="s">
        <v>6</v>
      </c>
      <c r="M12" s="20">
        <f>31/63</f>
        <v>0.49206349206349204</v>
      </c>
      <c r="N12" s="20">
        <f>31/78</f>
        <v>0.3974358974358974</v>
      </c>
      <c r="O12" s="20">
        <f>40/86</f>
        <v>0.46511627906976744</v>
      </c>
      <c r="P12" s="20">
        <f>42/74</f>
        <v>0.5675675675675675</v>
      </c>
      <c r="Q12" s="20">
        <f>18/91</f>
        <v>0.1978021978021978</v>
      </c>
      <c r="R12" s="20">
        <f>37/76</f>
        <v>0.4868421052631579</v>
      </c>
      <c r="S12" s="20">
        <f>39/88</f>
        <v>0.4431818181818182</v>
      </c>
      <c r="T12" s="20">
        <f>52/83</f>
        <v>0.6265060240963856</v>
      </c>
      <c r="U12" s="20">
        <f>10/79</f>
        <v>0.12658227848101267</v>
      </c>
      <c r="V12" s="16" t="s">
        <v>32</v>
      </c>
    </row>
    <row r="13" spans="1:22" ht="16.5">
      <c r="A13" s="16" t="s">
        <v>33</v>
      </c>
      <c r="B13" s="19">
        <f>81/104</f>
        <v>0.7788461538461539</v>
      </c>
      <c r="C13" s="19">
        <f>63/104</f>
        <v>0.6057692307692307</v>
      </c>
      <c r="D13" s="20">
        <f>100/104</f>
        <v>0.9615384615384616</v>
      </c>
      <c r="E13" s="20">
        <f>99/104</f>
        <v>0.9519230769230769</v>
      </c>
      <c r="F13" s="20">
        <f>95/104</f>
        <v>0.9134615384615384</v>
      </c>
      <c r="G13" s="20">
        <f>99/104</f>
        <v>0.9519230769230769</v>
      </c>
      <c r="H13" s="20">
        <f>87/104</f>
        <v>0.8365384615384616</v>
      </c>
      <c r="I13" s="20">
        <f>90/104</f>
        <v>0.8653846153846154</v>
      </c>
      <c r="J13" s="20">
        <f>25/66</f>
        <v>0.3787878787878788</v>
      </c>
      <c r="K13" s="20">
        <f>24/101</f>
        <v>0.2376237623762376</v>
      </c>
      <c r="L13" s="20">
        <f>24/63</f>
        <v>0.38095238095238093</v>
      </c>
      <c r="M13" s="20" t="s">
        <v>6</v>
      </c>
      <c r="N13" s="20">
        <f>27/87</f>
        <v>0.3103448275862069</v>
      </c>
      <c r="O13" s="20">
        <f>34/81</f>
        <v>0.41975308641975306</v>
      </c>
      <c r="P13" s="20">
        <f>41/80</f>
        <v>0.5125</v>
      </c>
      <c r="Q13" s="20">
        <f>19/84</f>
        <v>0.2261904761904762</v>
      </c>
      <c r="R13" s="20">
        <f>26/88</f>
        <v>0.29545454545454547</v>
      </c>
      <c r="S13" s="20">
        <f>24/77</f>
        <v>0.3116883116883117</v>
      </c>
      <c r="T13" s="20">
        <f>49/84</f>
        <v>0.5833333333333334</v>
      </c>
      <c r="U13" s="20">
        <f>12/77</f>
        <v>0.15584415584415584</v>
      </c>
      <c r="V13" s="16" t="s">
        <v>33</v>
      </c>
    </row>
    <row r="14" spans="1:22" ht="16.5">
      <c r="A14" s="16" t="s">
        <v>34</v>
      </c>
      <c r="B14" s="19">
        <f>84/109</f>
        <v>0.7706422018348624</v>
      </c>
      <c r="C14" s="19">
        <f>71/109</f>
        <v>0.6513761467889908</v>
      </c>
      <c r="D14" s="20">
        <f>108/109</f>
        <v>0.9908256880733946</v>
      </c>
      <c r="E14" s="20">
        <f>107/109</f>
        <v>0.981651376146789</v>
      </c>
      <c r="F14" s="20">
        <f>103/109</f>
        <v>0.944954128440367</v>
      </c>
      <c r="G14" s="20">
        <f>105/109</f>
        <v>0.963302752293578</v>
      </c>
      <c r="H14" s="20">
        <f>96/109</f>
        <v>0.8807339449541285</v>
      </c>
      <c r="I14" s="20">
        <f>95/109</f>
        <v>0.8715596330275229</v>
      </c>
      <c r="J14" s="20">
        <f>27/77</f>
        <v>0.35064935064935066</v>
      </c>
      <c r="K14" s="20">
        <f>44/87</f>
        <v>0.5057471264367817</v>
      </c>
      <c r="L14" s="20">
        <f>30/78</f>
        <v>0.38461538461538464</v>
      </c>
      <c r="M14" s="20">
        <f>38/87</f>
        <v>0.4367816091954023</v>
      </c>
      <c r="N14" s="20" t="s">
        <v>6</v>
      </c>
      <c r="O14" s="20">
        <f>34/69</f>
        <v>0.4927536231884058</v>
      </c>
      <c r="P14" s="20">
        <f>54/84</f>
        <v>0.6428571428571429</v>
      </c>
      <c r="Q14" s="20">
        <f>18/82</f>
        <v>0.21951219512195122</v>
      </c>
      <c r="R14" s="20">
        <f>31/96</f>
        <v>0.3229166666666667</v>
      </c>
      <c r="S14" s="20">
        <f>32/76</f>
        <v>0.42105263157894735</v>
      </c>
      <c r="T14" s="20">
        <f>55/86</f>
        <v>0.6395348837209303</v>
      </c>
      <c r="U14" s="20">
        <f>11/80</f>
        <v>0.1375</v>
      </c>
      <c r="V14" s="16" t="s">
        <v>34</v>
      </c>
    </row>
    <row r="15" spans="1:22" ht="16.5">
      <c r="A15" s="16" t="s">
        <v>35</v>
      </c>
      <c r="B15" s="19">
        <f>89/110</f>
        <v>0.8090909090909091</v>
      </c>
      <c r="C15" s="19">
        <f>68/110</f>
        <v>0.6181818181818182</v>
      </c>
      <c r="D15" s="20">
        <f>109/110</f>
        <v>0.990909090909091</v>
      </c>
      <c r="E15" s="20">
        <f>109/110</f>
        <v>0.990909090909091</v>
      </c>
      <c r="F15" s="20">
        <f>104/110</f>
        <v>0.9454545454545454</v>
      </c>
      <c r="G15" s="20">
        <f>106/110</f>
        <v>0.9636363636363636</v>
      </c>
      <c r="H15" s="20">
        <f>91/110</f>
        <v>0.8272727272727273</v>
      </c>
      <c r="I15" s="20">
        <f>102/110</f>
        <v>0.9272727272727272</v>
      </c>
      <c r="J15" s="20">
        <f>23/83</f>
        <v>0.27710843373493976</v>
      </c>
      <c r="K15" s="20">
        <f>39/85</f>
        <v>0.4588235294117647</v>
      </c>
      <c r="L15" s="20">
        <f>25/86</f>
        <v>0.29069767441860467</v>
      </c>
      <c r="M15" s="20">
        <f>35/81</f>
        <v>0.43209876543209874</v>
      </c>
      <c r="N15" s="20">
        <f>31/69</f>
        <v>0.4492753623188406</v>
      </c>
      <c r="O15" s="20" t="s">
        <v>6</v>
      </c>
      <c r="P15" s="20">
        <f>37/74</f>
        <v>0.5</v>
      </c>
      <c r="Q15" s="20">
        <f>14/98</f>
        <v>0.14285714285714285</v>
      </c>
      <c r="R15" s="20">
        <f>31/76</f>
        <v>0.40789473684210525</v>
      </c>
      <c r="S15" s="20">
        <f>25/97</f>
        <v>0.25773195876288657</v>
      </c>
      <c r="T15" s="20">
        <f>51/86</f>
        <v>0.5930232558139535</v>
      </c>
      <c r="U15" s="20">
        <f>10/82</f>
        <v>0.12195121951219512</v>
      </c>
      <c r="V15" s="16" t="s">
        <v>35</v>
      </c>
    </row>
    <row r="16" spans="1:22" ht="16.5">
      <c r="A16" s="16" t="s">
        <v>36</v>
      </c>
      <c r="B16" s="19">
        <f>74/100</f>
        <v>0.74</v>
      </c>
      <c r="C16" s="19">
        <f>51/100</f>
        <v>0.51</v>
      </c>
      <c r="D16" s="20">
        <f>96/100</f>
        <v>0.96</v>
      </c>
      <c r="E16" s="20">
        <f>96/100</f>
        <v>0.96</v>
      </c>
      <c r="F16" s="20">
        <f>91/100</f>
        <v>0.91</v>
      </c>
      <c r="G16" s="20">
        <f>92/100</f>
        <v>0.92</v>
      </c>
      <c r="H16" s="20">
        <f>81/100</f>
        <v>0.81</v>
      </c>
      <c r="I16" s="20">
        <f>83/100</f>
        <v>0.83</v>
      </c>
      <c r="J16" s="20">
        <f>18/76</f>
        <v>0.23684210526315788</v>
      </c>
      <c r="K16" s="20">
        <f>24/82</f>
        <v>0.2926829268292683</v>
      </c>
      <c r="L16" s="20">
        <f>13/74</f>
        <v>0.17567567567567569</v>
      </c>
      <c r="M16" s="20">
        <f>26/80</f>
        <v>0.325</v>
      </c>
      <c r="N16" s="20">
        <f>17/84</f>
        <v>0.20238095238095238</v>
      </c>
      <c r="O16" s="20">
        <f>25/74</f>
        <v>0.33783783783783783</v>
      </c>
      <c r="P16" s="20" t="s">
        <v>6</v>
      </c>
      <c r="Q16" s="20">
        <f>13/66</f>
        <v>0.19696969696969696</v>
      </c>
      <c r="R16" s="20">
        <f>21/78</f>
        <v>0.2692307692307692</v>
      </c>
      <c r="S16" s="20">
        <f>15/77</f>
        <v>0.19480519480519481</v>
      </c>
      <c r="T16" s="20">
        <f>36/94</f>
        <v>0.3829787234042553</v>
      </c>
      <c r="U16" s="20">
        <f>8/64</f>
        <v>0.125</v>
      </c>
      <c r="V16" s="16" t="s">
        <v>36</v>
      </c>
    </row>
    <row r="17" spans="1:22" ht="16.5">
      <c r="A17" s="16" t="s">
        <v>37</v>
      </c>
      <c r="B17" s="19">
        <f>98/116</f>
        <v>0.8448275862068966</v>
      </c>
      <c r="C17" s="19">
        <f>83/116</f>
        <v>0.7155172413793104</v>
      </c>
      <c r="D17" s="20">
        <f>115/116</f>
        <v>0.9913793103448276</v>
      </c>
      <c r="E17" s="20">
        <f>114/116</f>
        <v>0.9827586206896551</v>
      </c>
      <c r="F17" s="20">
        <f>108/116</f>
        <v>0.9310344827586207</v>
      </c>
      <c r="G17" s="20">
        <f>113/116</f>
        <v>0.9741379310344828</v>
      </c>
      <c r="H17" s="20">
        <f>105/116</f>
        <v>0.9051724137931034</v>
      </c>
      <c r="I17" s="20">
        <f>109/116</f>
        <v>0.9396551724137931</v>
      </c>
      <c r="J17" s="20">
        <f>36/82</f>
        <v>0.43902439024390244</v>
      </c>
      <c r="K17" s="20">
        <f>50/87</f>
        <v>0.5747126436781609</v>
      </c>
      <c r="L17" s="20">
        <f>51/91</f>
        <v>0.5604395604395604</v>
      </c>
      <c r="M17" s="20">
        <f>47/84</f>
        <v>0.5595238095238095</v>
      </c>
      <c r="N17" s="20">
        <f>45/82</f>
        <v>0.5487804878048781</v>
      </c>
      <c r="O17" s="20">
        <f>63/98</f>
        <v>0.6428571428571429</v>
      </c>
      <c r="P17" s="20">
        <f>40/66</f>
        <v>0.6060606060606061</v>
      </c>
      <c r="Q17" s="20" t="s">
        <v>6</v>
      </c>
      <c r="R17" s="20">
        <f>49/88</f>
        <v>0.5568181818181818</v>
      </c>
      <c r="S17" s="20">
        <f>52/89</f>
        <v>0.5842696629213483</v>
      </c>
      <c r="T17" s="20">
        <f>56/81</f>
        <v>0.691358024691358</v>
      </c>
      <c r="U17" s="20">
        <f>13/95</f>
        <v>0.1368421052631579</v>
      </c>
      <c r="V17" s="16" t="s">
        <v>37</v>
      </c>
    </row>
    <row r="18" spans="1:22" ht="16.5">
      <c r="A18" s="16" t="s">
        <v>38</v>
      </c>
      <c r="B18" s="19">
        <f>84/108</f>
        <v>0.7777777777777778</v>
      </c>
      <c r="C18" s="19">
        <f>65/108</f>
        <v>0.6018518518518519</v>
      </c>
      <c r="D18" s="20">
        <f>106/108</f>
        <v>0.9814814814814815</v>
      </c>
      <c r="E18" s="20">
        <f>104/108</f>
        <v>0.9629629629629629</v>
      </c>
      <c r="F18" s="20">
        <f>99/108</f>
        <v>0.9166666666666666</v>
      </c>
      <c r="G18" s="20">
        <f>102/108</f>
        <v>0.9444444444444444</v>
      </c>
      <c r="H18" s="20">
        <f>90/108</f>
        <v>0.8333333333333334</v>
      </c>
      <c r="I18" s="20">
        <f>94/108</f>
        <v>0.8703703703703703</v>
      </c>
      <c r="J18" s="20">
        <f>24/73</f>
        <v>0.3287671232876712</v>
      </c>
      <c r="K18" s="20">
        <f>44/89</f>
        <v>0.4943820224719101</v>
      </c>
      <c r="L18" s="20">
        <f>23/76</f>
        <v>0.3026315789473684</v>
      </c>
      <c r="M18" s="20">
        <f>41/88</f>
        <v>0.4659090909090909</v>
      </c>
      <c r="N18" s="20">
        <f>30/96</f>
        <v>0.3125</v>
      </c>
      <c r="O18" s="20">
        <f>34/76</f>
        <v>0.4473684210526316</v>
      </c>
      <c r="P18" s="20">
        <f>42/78</f>
        <v>0.5384615384615384</v>
      </c>
      <c r="Q18" s="20">
        <f>18/88</f>
        <v>0.20454545454545456</v>
      </c>
      <c r="R18" s="20" t="s">
        <v>6</v>
      </c>
      <c r="S18" s="20">
        <f>26/67</f>
        <v>0.3880597014925373</v>
      </c>
      <c r="T18" s="20">
        <f>53/91</f>
        <v>0.5824175824175825</v>
      </c>
      <c r="U18" s="20">
        <f>14/75</f>
        <v>0.18666666666666668</v>
      </c>
      <c r="V18" s="16" t="s">
        <v>38</v>
      </c>
    </row>
    <row r="19" spans="1:22" ht="16.5">
      <c r="A19" s="16" t="s">
        <v>39</v>
      </c>
      <c r="B19" s="19">
        <f>89/109</f>
        <v>0.8165137614678899</v>
      </c>
      <c r="C19" s="19">
        <f>69/109</f>
        <v>0.6330275229357798</v>
      </c>
      <c r="D19" s="20">
        <f>109/109</f>
        <v>1</v>
      </c>
      <c r="E19" s="20">
        <f>109/109</f>
        <v>1</v>
      </c>
      <c r="F19" s="20">
        <f>105/109</f>
        <v>0.963302752293578</v>
      </c>
      <c r="G19" s="20">
        <f>104/109</f>
        <v>0.9541284403669725</v>
      </c>
      <c r="H19" s="20">
        <f>93/109</f>
        <v>0.8532110091743119</v>
      </c>
      <c r="I19" s="20">
        <f>99/109</f>
        <v>0.908256880733945</v>
      </c>
      <c r="J19" s="20">
        <f>28/86</f>
        <v>0.32558139534883723</v>
      </c>
      <c r="K19" s="20">
        <f>40/79</f>
        <v>0.5063291139240507</v>
      </c>
      <c r="L19" s="20">
        <f>27/88</f>
        <v>0.3068181818181818</v>
      </c>
      <c r="M19" s="20">
        <f>38/77</f>
        <v>0.4935064935064935</v>
      </c>
      <c r="N19" s="20">
        <f>34/76</f>
        <v>0.4473684210526316</v>
      </c>
      <c r="O19" s="20">
        <f>39/97</f>
        <v>0.4020618556701031</v>
      </c>
      <c r="P19" s="20">
        <f>48/77</f>
        <v>0.6233766233766234</v>
      </c>
      <c r="Q19" s="20">
        <f>14/89</f>
        <v>0.15730337078651685</v>
      </c>
      <c r="R19" s="20">
        <f>32/67</f>
        <v>0.47761194029850745</v>
      </c>
      <c r="S19" s="20" t="s">
        <v>6</v>
      </c>
      <c r="T19" s="20">
        <f>55/81</f>
        <v>0.6790123456790124</v>
      </c>
      <c r="U19" s="20">
        <f>8/85</f>
        <v>0.09411764705882353</v>
      </c>
      <c r="V19" s="16" t="s">
        <v>39</v>
      </c>
    </row>
    <row r="20" spans="1:22" ht="16.5">
      <c r="A20" s="16" t="s">
        <v>40</v>
      </c>
      <c r="B20" s="19">
        <f>82/112</f>
        <v>0.7321428571428571</v>
      </c>
      <c r="C20" s="19">
        <f>53/112</f>
        <v>0.4732142857142857</v>
      </c>
      <c r="D20" s="20">
        <f>107/112</f>
        <v>0.9553571428571429</v>
      </c>
      <c r="E20" s="20">
        <f>106/112</f>
        <v>0.9464285714285714</v>
      </c>
      <c r="F20" s="20">
        <f>94/112</f>
        <v>0.8392857142857143</v>
      </c>
      <c r="G20" s="20">
        <f>101/112</f>
        <v>0.9017857142857143</v>
      </c>
      <c r="H20" s="20">
        <f>82/112</f>
        <v>0.7321428571428571</v>
      </c>
      <c r="I20" s="20">
        <f>95/112</f>
        <v>0.8482142857142857</v>
      </c>
      <c r="J20" s="20">
        <f>17/78</f>
        <v>0.21794871794871795</v>
      </c>
      <c r="K20" s="20">
        <f>18/88</f>
        <v>0.20454545454545456</v>
      </c>
      <c r="L20" s="20">
        <f>13/83</f>
        <v>0.1566265060240964</v>
      </c>
      <c r="M20" s="20">
        <f>21/84</f>
        <v>0.25</v>
      </c>
      <c r="N20" s="20">
        <f>15/86</f>
        <v>0.1744186046511628</v>
      </c>
      <c r="O20" s="20">
        <f>21/86</f>
        <v>0.2441860465116279</v>
      </c>
      <c r="P20" s="20">
        <f>17/94</f>
        <v>0.18085106382978725</v>
      </c>
      <c r="Q20" s="20">
        <f>11/81</f>
        <v>0.13580246913580246</v>
      </c>
      <c r="R20" s="20">
        <f>17/91</f>
        <v>0.18681318681318682</v>
      </c>
      <c r="S20" s="20">
        <f>14/81</f>
        <v>0.1728395061728395</v>
      </c>
      <c r="T20" s="20" t="s">
        <v>6</v>
      </c>
      <c r="U20" s="20">
        <f>10/63</f>
        <v>0.15873015873015872</v>
      </c>
      <c r="V20" s="16" t="s">
        <v>40</v>
      </c>
    </row>
    <row r="21" spans="1:22" ht="16.5">
      <c r="A21" s="16" t="s">
        <v>41</v>
      </c>
      <c r="B21" s="19">
        <f>84/101</f>
        <v>0.8316831683168316</v>
      </c>
      <c r="C21" s="19">
        <f>74/101</f>
        <v>0.7326732673267327</v>
      </c>
      <c r="D21" s="20">
        <f>101/101</f>
        <v>1</v>
      </c>
      <c r="E21" s="20">
        <f>101/101</f>
        <v>1</v>
      </c>
      <c r="F21" s="20">
        <f>99/101</f>
        <v>0.9801980198019802</v>
      </c>
      <c r="G21" s="20">
        <f>101/101</f>
        <v>1</v>
      </c>
      <c r="H21" s="20">
        <f>98/101</f>
        <v>0.9702970297029703</v>
      </c>
      <c r="I21" s="20">
        <f>94/101</f>
        <v>0.9306930693069307</v>
      </c>
      <c r="J21" s="20">
        <f>40/77</f>
        <v>0.5194805194805194</v>
      </c>
      <c r="K21" s="20">
        <f>48/78</f>
        <v>0.6153846153846154</v>
      </c>
      <c r="L21" s="20">
        <f>48/79</f>
        <v>0.6075949367088608</v>
      </c>
      <c r="M21" s="20">
        <f>45/77</f>
        <v>0.5844155844155844</v>
      </c>
      <c r="N21" s="20">
        <f>48/80</f>
        <v>0.6</v>
      </c>
      <c r="O21" s="20">
        <f>55/82</f>
        <v>0.6707317073170732</v>
      </c>
      <c r="P21" s="20">
        <f>46/64</f>
        <v>0.71875</v>
      </c>
      <c r="Q21" s="20">
        <f>37/95</f>
        <v>0.3894736842105263</v>
      </c>
      <c r="R21" s="20">
        <f>44/75</f>
        <v>0.5866666666666667</v>
      </c>
      <c r="S21" s="20">
        <f>55/85</f>
        <v>0.6470588235294118</v>
      </c>
      <c r="T21" s="20">
        <f>44/63</f>
        <v>0.6984126984126984</v>
      </c>
      <c r="U21" s="20" t="s">
        <v>6</v>
      </c>
      <c r="V21" s="16" t="s">
        <v>41</v>
      </c>
    </row>
    <row r="22" ht="12.75">
      <c r="C22" s="17"/>
    </row>
  </sheetData>
  <sheetProtection/>
  <conditionalFormatting sqref="B2:U2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749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9.28125" style="0" bestFit="1" customWidth="1"/>
    <col min="9" max="9" width="16.140625" style="0" bestFit="1" customWidth="1"/>
    <col min="10" max="10" width="18.140625" style="0" bestFit="1" customWidth="1"/>
    <col min="11" max="11" width="16.00390625" style="0" bestFit="1" customWidth="1"/>
    <col min="12" max="12" width="18.00390625" style="0" bestFit="1" customWidth="1"/>
    <col min="13" max="13" width="18.421875" style="0" bestFit="1" customWidth="1"/>
    <col min="14" max="14" width="20.57421875" style="0" bestFit="1" customWidth="1"/>
    <col min="15" max="15" width="18.57421875" style="0" bestFit="1" customWidth="1"/>
    <col min="16" max="16" width="20.7109375" style="0" bestFit="1" customWidth="1"/>
    <col min="17" max="17" width="18.28125" style="0" bestFit="1" customWidth="1"/>
    <col min="18" max="18" width="20.421875" style="0" bestFit="1" customWidth="1"/>
    <col min="19" max="19" width="18.421875" style="0" bestFit="1" customWidth="1"/>
    <col min="20" max="20" width="20.57421875" style="0" bestFit="1" customWidth="1"/>
  </cols>
  <sheetData>
    <row r="1" spans="1:20" s="2" customFormat="1" ht="16.5">
      <c r="A1" s="1" t="s">
        <v>0</v>
      </c>
      <c r="B1" s="3" t="s">
        <v>1</v>
      </c>
      <c r="C1" s="3" t="s">
        <v>8</v>
      </c>
      <c r="D1" s="3" t="s">
        <v>7</v>
      </c>
      <c r="E1" s="3" t="s">
        <v>5</v>
      </c>
      <c r="F1" s="3" t="s">
        <v>4</v>
      </c>
      <c r="G1" s="3" t="s">
        <v>3</v>
      </c>
      <c r="H1" s="3" t="s">
        <v>2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</row>
    <row r="2" spans="1:20" ht="12.75">
      <c r="A2">
        <v>17</v>
      </c>
      <c r="B2">
        <v>4</v>
      </c>
      <c r="C2">
        <v>94</v>
      </c>
      <c r="D2">
        <v>73</v>
      </c>
      <c r="E2">
        <v>19</v>
      </c>
      <c r="F2">
        <v>220</v>
      </c>
      <c r="G2">
        <v>41</v>
      </c>
      <c r="H2">
        <v>142</v>
      </c>
      <c r="I2" s="4">
        <v>16</v>
      </c>
      <c r="J2" s="5">
        <v>2</v>
      </c>
      <c r="K2" s="6">
        <v>109</v>
      </c>
      <c r="L2" s="7">
        <v>2</v>
      </c>
      <c r="M2" s="8">
        <v>3</v>
      </c>
      <c r="N2" s="9">
        <v>4</v>
      </c>
      <c r="O2" s="10">
        <v>14</v>
      </c>
      <c r="P2" s="11">
        <v>3</v>
      </c>
      <c r="Q2" s="12">
        <v>10</v>
      </c>
      <c r="R2" s="13">
        <v>4</v>
      </c>
      <c r="S2" s="14">
        <v>15</v>
      </c>
      <c r="T2" s="15">
        <v>3</v>
      </c>
    </row>
    <row r="22" spans="1:20" ht="12.75">
      <c r="A22">
        <v>881</v>
      </c>
      <c r="B22">
        <v>130</v>
      </c>
      <c r="C22">
        <v>292</v>
      </c>
      <c r="D22">
        <v>194</v>
      </c>
      <c r="E22">
        <v>840</v>
      </c>
      <c r="F22">
        <v>762</v>
      </c>
      <c r="G22">
        <v>465</v>
      </c>
      <c r="H22">
        <v>394</v>
      </c>
      <c r="I22" s="4"/>
      <c r="J22" s="5">
        <v>77</v>
      </c>
      <c r="K22" s="6"/>
      <c r="L22" s="7">
        <v>80</v>
      </c>
      <c r="M22" s="8">
        <v>84</v>
      </c>
      <c r="N22" s="9"/>
      <c r="O22" s="10">
        <v>111</v>
      </c>
      <c r="P22" s="11"/>
      <c r="Q22" s="12">
        <v>72</v>
      </c>
      <c r="R22" s="13"/>
      <c r="S22" s="14">
        <v>100</v>
      </c>
      <c r="T22" s="15"/>
    </row>
    <row r="23" spans="1:20" ht="12.75">
      <c r="A23">
        <v>20</v>
      </c>
      <c r="B23">
        <v>6</v>
      </c>
      <c r="C23">
        <v>426</v>
      </c>
      <c r="D23">
        <v>422</v>
      </c>
      <c r="E23">
        <v>237</v>
      </c>
      <c r="F23">
        <v>234</v>
      </c>
      <c r="G23">
        <v>93</v>
      </c>
      <c r="H23">
        <v>165</v>
      </c>
      <c r="I23" s="4"/>
      <c r="J23" s="5">
        <v>3</v>
      </c>
      <c r="K23" s="6"/>
      <c r="L23" s="7">
        <v>3</v>
      </c>
      <c r="M23" s="8">
        <v>11</v>
      </c>
      <c r="N23" s="9">
        <v>6</v>
      </c>
      <c r="O23" s="10"/>
      <c r="P23" s="11">
        <v>6</v>
      </c>
      <c r="Q23" s="12">
        <v>13</v>
      </c>
      <c r="R23" s="13">
        <v>6</v>
      </c>
      <c r="S23" s="14">
        <v>1</v>
      </c>
      <c r="T23" s="15">
        <v>15</v>
      </c>
    </row>
    <row r="26" spans="1:20" ht="12.75">
      <c r="A26">
        <v>74</v>
      </c>
      <c r="B26">
        <v>15</v>
      </c>
      <c r="C26">
        <v>199</v>
      </c>
      <c r="D26">
        <v>78</v>
      </c>
      <c r="E26">
        <v>106</v>
      </c>
      <c r="F26">
        <v>137</v>
      </c>
      <c r="G26">
        <v>233</v>
      </c>
      <c r="H26">
        <v>208</v>
      </c>
      <c r="I26" s="4">
        <v>7</v>
      </c>
      <c r="J26" s="5">
        <v>4</v>
      </c>
      <c r="K26" s="6"/>
      <c r="L26" s="7">
        <v>4</v>
      </c>
      <c r="M26" s="8">
        <v>5</v>
      </c>
      <c r="N26" s="9">
        <v>8</v>
      </c>
      <c r="O26" s="10">
        <v>7</v>
      </c>
      <c r="P26" s="11"/>
      <c r="Q26" s="12"/>
      <c r="R26" s="13">
        <v>4</v>
      </c>
      <c r="S26" s="14">
        <v>7</v>
      </c>
      <c r="T26" s="15"/>
    </row>
    <row r="28" spans="1:20" ht="12.75">
      <c r="A28">
        <v>336</v>
      </c>
      <c r="B28">
        <v>48</v>
      </c>
      <c r="C28">
        <v>325</v>
      </c>
      <c r="D28">
        <v>262</v>
      </c>
      <c r="E28">
        <v>242</v>
      </c>
      <c r="F28">
        <v>446</v>
      </c>
      <c r="G28">
        <v>309</v>
      </c>
      <c r="H28">
        <v>309</v>
      </c>
      <c r="I28" s="4">
        <v>9</v>
      </c>
      <c r="J28" s="5">
        <v>71</v>
      </c>
      <c r="K28" s="6">
        <v>12</v>
      </c>
      <c r="L28" s="7">
        <v>74</v>
      </c>
      <c r="M28" s="8">
        <v>18</v>
      </c>
      <c r="N28" s="9">
        <v>49</v>
      </c>
      <c r="O28" s="10">
        <v>28</v>
      </c>
      <c r="P28" s="11"/>
      <c r="Q28" s="12">
        <v>18</v>
      </c>
      <c r="R28" s="13">
        <v>50</v>
      </c>
      <c r="S28" s="14">
        <v>28</v>
      </c>
      <c r="T28" s="15"/>
    </row>
    <row r="37" spans="1:20" ht="12.75">
      <c r="A37">
        <v>9</v>
      </c>
      <c r="B37">
        <v>4</v>
      </c>
      <c r="C37">
        <v>781</v>
      </c>
      <c r="D37">
        <v>744</v>
      </c>
      <c r="E37">
        <v>308</v>
      </c>
      <c r="F37">
        <v>119</v>
      </c>
      <c r="G37">
        <v>203</v>
      </c>
      <c r="H37">
        <v>241</v>
      </c>
      <c r="I37" s="4">
        <v>4</v>
      </c>
      <c r="J37" s="5"/>
      <c r="K37" s="6">
        <v>4</v>
      </c>
      <c r="L37" s="7"/>
      <c r="M37" s="8">
        <v>3</v>
      </c>
      <c r="N37" s="9">
        <v>2</v>
      </c>
      <c r="O37" s="10">
        <v>4</v>
      </c>
      <c r="P37" s="11"/>
      <c r="Q37" s="12"/>
      <c r="R37" s="13">
        <v>1</v>
      </c>
      <c r="S37" s="14">
        <v>4</v>
      </c>
      <c r="T37" s="15"/>
    </row>
    <row r="39" spans="1:20" ht="12.75">
      <c r="A39">
        <v>11</v>
      </c>
      <c r="B39">
        <v>2</v>
      </c>
      <c r="C39">
        <v>424</v>
      </c>
      <c r="D39">
        <v>286</v>
      </c>
      <c r="E39">
        <v>345</v>
      </c>
      <c r="F39">
        <v>201</v>
      </c>
      <c r="G39">
        <v>15</v>
      </c>
      <c r="H39">
        <v>137</v>
      </c>
      <c r="I39" s="4">
        <v>2</v>
      </c>
      <c r="J39" s="5">
        <v>2</v>
      </c>
      <c r="K39" s="6">
        <v>3</v>
      </c>
      <c r="L39" s="7">
        <v>2</v>
      </c>
      <c r="M39" s="8">
        <v>1</v>
      </c>
      <c r="N39" s="9">
        <v>3</v>
      </c>
      <c r="O39" s="10"/>
      <c r="P39" s="11">
        <v>2</v>
      </c>
      <c r="Q39" s="12">
        <v>1</v>
      </c>
      <c r="R39" s="13">
        <v>3</v>
      </c>
      <c r="S39" s="14"/>
      <c r="T39" s="15">
        <v>1</v>
      </c>
    </row>
    <row r="43" spans="1:20" ht="12.75">
      <c r="A43">
        <v>2072</v>
      </c>
      <c r="B43">
        <v>298</v>
      </c>
      <c r="C43">
        <v>26</v>
      </c>
      <c r="D43">
        <v>50</v>
      </c>
      <c r="E43">
        <v>46</v>
      </c>
      <c r="F43">
        <v>837</v>
      </c>
      <c r="G43">
        <v>35</v>
      </c>
      <c r="H43">
        <v>249</v>
      </c>
      <c r="I43" s="4"/>
      <c r="J43" s="5">
        <v>167</v>
      </c>
      <c r="K43" s="6"/>
      <c r="L43" s="7">
        <v>175</v>
      </c>
      <c r="M43" s="8"/>
      <c r="N43" s="9">
        <v>134</v>
      </c>
      <c r="O43" s="10"/>
      <c r="P43" s="11">
        <v>66</v>
      </c>
      <c r="Q43" s="12">
        <v>127</v>
      </c>
      <c r="R43" s="13"/>
      <c r="S43" s="14">
        <v>207</v>
      </c>
      <c r="T43" s="15"/>
    </row>
    <row r="44" spans="1:20" ht="12.75">
      <c r="A44">
        <v>101</v>
      </c>
      <c r="B44">
        <v>29</v>
      </c>
      <c r="C44">
        <v>291</v>
      </c>
      <c r="D44">
        <v>268</v>
      </c>
      <c r="E44">
        <v>341</v>
      </c>
      <c r="F44">
        <v>278</v>
      </c>
      <c r="G44">
        <v>32</v>
      </c>
      <c r="H44">
        <v>216</v>
      </c>
      <c r="I44" s="4">
        <v>7</v>
      </c>
      <c r="J44" s="5">
        <v>63</v>
      </c>
      <c r="K44" s="6">
        <v>11</v>
      </c>
      <c r="L44" s="7">
        <v>60</v>
      </c>
      <c r="M44" s="8">
        <v>9</v>
      </c>
      <c r="N44" s="9">
        <v>60</v>
      </c>
      <c r="O44" s="10"/>
      <c r="P44" s="11">
        <v>7</v>
      </c>
      <c r="Q44" s="12">
        <v>12</v>
      </c>
      <c r="R44" s="13">
        <v>40</v>
      </c>
      <c r="S44" s="14">
        <v>19</v>
      </c>
      <c r="T44" s="15">
        <v>21</v>
      </c>
    </row>
    <row r="46" spans="1:20" ht="12.75">
      <c r="A46">
        <v>385</v>
      </c>
      <c r="B46">
        <v>65</v>
      </c>
      <c r="C46">
        <v>626</v>
      </c>
      <c r="D46">
        <v>622</v>
      </c>
      <c r="E46">
        <v>90</v>
      </c>
      <c r="F46">
        <v>23</v>
      </c>
      <c r="G46">
        <v>444</v>
      </c>
      <c r="H46">
        <v>444</v>
      </c>
      <c r="I46" s="4">
        <v>11</v>
      </c>
      <c r="J46" s="5"/>
      <c r="K46" s="6">
        <v>15</v>
      </c>
      <c r="L46" s="7"/>
      <c r="M46" s="8"/>
      <c r="N46" s="9">
        <v>16</v>
      </c>
      <c r="O46" s="10">
        <v>49</v>
      </c>
      <c r="P46" s="11"/>
      <c r="Q46" s="12"/>
      <c r="R46" s="13">
        <v>14</v>
      </c>
      <c r="S46" s="14">
        <v>50</v>
      </c>
      <c r="T46" s="15"/>
    </row>
    <row r="47" spans="1:20" ht="12.75">
      <c r="A47">
        <v>1</v>
      </c>
      <c r="B47">
        <v>1</v>
      </c>
      <c r="C47">
        <v>266</v>
      </c>
      <c r="D47">
        <v>276</v>
      </c>
      <c r="E47">
        <v>347</v>
      </c>
      <c r="F47">
        <v>18</v>
      </c>
      <c r="G47">
        <v>65</v>
      </c>
      <c r="H47">
        <v>1</v>
      </c>
      <c r="I47" s="4">
        <v>44</v>
      </c>
      <c r="J47" s="5">
        <v>1</v>
      </c>
      <c r="K47" s="6">
        <v>64</v>
      </c>
      <c r="L47" s="7">
        <v>1</v>
      </c>
      <c r="M47" s="8">
        <v>1</v>
      </c>
      <c r="N47" s="9">
        <v>90</v>
      </c>
      <c r="O47" s="10">
        <v>69</v>
      </c>
      <c r="P47" s="11">
        <v>1</v>
      </c>
      <c r="Q47" s="12">
        <v>1</v>
      </c>
      <c r="R47" s="13">
        <v>100</v>
      </c>
      <c r="S47" s="14">
        <v>74</v>
      </c>
      <c r="T47" s="15">
        <v>1</v>
      </c>
    </row>
    <row r="53" spans="1:20" ht="12.75">
      <c r="A53">
        <v>1</v>
      </c>
      <c r="B53">
        <v>1</v>
      </c>
      <c r="C53">
        <v>168</v>
      </c>
      <c r="D53">
        <v>150</v>
      </c>
      <c r="E53">
        <v>38</v>
      </c>
      <c r="F53">
        <v>16</v>
      </c>
      <c r="G53">
        <v>13</v>
      </c>
      <c r="H53">
        <v>1</v>
      </c>
      <c r="I53" s="4">
        <v>14</v>
      </c>
      <c r="J53" s="5">
        <v>3</v>
      </c>
      <c r="K53" s="6">
        <v>1</v>
      </c>
      <c r="L53" s="7">
        <v>3</v>
      </c>
      <c r="M53" s="8">
        <v>7</v>
      </c>
      <c r="N53" s="9">
        <v>1</v>
      </c>
      <c r="O53" s="10">
        <v>10</v>
      </c>
      <c r="P53" s="11">
        <v>1</v>
      </c>
      <c r="Q53" s="12">
        <v>7</v>
      </c>
      <c r="R53" s="13">
        <v>1</v>
      </c>
      <c r="S53" s="14">
        <v>10</v>
      </c>
      <c r="T53" s="15">
        <v>1</v>
      </c>
    </row>
    <row r="94" spans="1:20" ht="12.75">
      <c r="A94">
        <v>28</v>
      </c>
      <c r="B94">
        <v>4</v>
      </c>
      <c r="C94">
        <v>611</v>
      </c>
      <c r="D94">
        <v>561</v>
      </c>
      <c r="E94">
        <v>41</v>
      </c>
      <c r="F94">
        <v>56</v>
      </c>
      <c r="G94">
        <v>2</v>
      </c>
      <c r="H94">
        <v>65</v>
      </c>
      <c r="I94" s="4">
        <v>3</v>
      </c>
      <c r="J94" s="5"/>
      <c r="K94" s="6">
        <v>2</v>
      </c>
      <c r="L94" s="7"/>
      <c r="M94" s="8"/>
      <c r="N94" s="9">
        <v>2</v>
      </c>
      <c r="O94" s="10"/>
      <c r="P94" s="11">
        <v>1</v>
      </c>
      <c r="Q94" s="12"/>
      <c r="R94" s="13">
        <v>2</v>
      </c>
      <c r="S94" s="14"/>
      <c r="T94" s="15">
        <v>1</v>
      </c>
    </row>
    <row r="96" spans="1:20" ht="12.75">
      <c r="A96">
        <v>32</v>
      </c>
      <c r="B96">
        <v>16</v>
      </c>
      <c r="C96">
        <v>541</v>
      </c>
      <c r="D96">
        <v>535</v>
      </c>
      <c r="E96">
        <v>189</v>
      </c>
      <c r="F96">
        <v>307</v>
      </c>
      <c r="G96">
        <v>148</v>
      </c>
      <c r="H96">
        <v>179</v>
      </c>
      <c r="I96" s="4">
        <v>16</v>
      </c>
      <c r="J96" s="5">
        <v>1</v>
      </c>
      <c r="K96" s="6">
        <v>14</v>
      </c>
      <c r="L96" s="7">
        <v>6</v>
      </c>
      <c r="M96" s="8">
        <v>10</v>
      </c>
      <c r="N96" s="9">
        <v>8</v>
      </c>
      <c r="O96" s="10">
        <v>13</v>
      </c>
      <c r="P96" s="11">
        <v>2</v>
      </c>
      <c r="Q96" s="12">
        <v>9</v>
      </c>
      <c r="R96" s="13">
        <v>11</v>
      </c>
      <c r="S96" s="14">
        <v>16</v>
      </c>
      <c r="T96" s="15">
        <v>4</v>
      </c>
    </row>
    <row r="105" spans="1:20" ht="12.75">
      <c r="A105">
        <v>103</v>
      </c>
      <c r="B105">
        <v>26</v>
      </c>
      <c r="C105">
        <v>911</v>
      </c>
      <c r="D105">
        <v>933</v>
      </c>
      <c r="E105">
        <v>285</v>
      </c>
      <c r="F105">
        <v>40</v>
      </c>
      <c r="G105">
        <v>46</v>
      </c>
      <c r="H105">
        <v>106</v>
      </c>
      <c r="I105" s="4">
        <v>9</v>
      </c>
      <c r="J105" s="5"/>
      <c r="K105" s="6">
        <v>9</v>
      </c>
      <c r="L105" s="7"/>
      <c r="M105" s="8"/>
      <c r="N105" s="9">
        <v>21</v>
      </c>
      <c r="O105" s="10"/>
      <c r="P105" s="11">
        <v>14</v>
      </c>
      <c r="Q105" s="12"/>
      <c r="R105" s="13">
        <v>17</v>
      </c>
      <c r="S105" s="14"/>
      <c r="T105" s="15">
        <v>12</v>
      </c>
    </row>
    <row r="109" spans="1:20" ht="12.75">
      <c r="A109">
        <v>3619</v>
      </c>
      <c r="B109">
        <v>525</v>
      </c>
      <c r="C109">
        <v>504</v>
      </c>
      <c r="D109">
        <v>874</v>
      </c>
      <c r="E109">
        <v>370</v>
      </c>
      <c r="F109">
        <v>104</v>
      </c>
      <c r="G109">
        <v>247</v>
      </c>
      <c r="H109">
        <v>186</v>
      </c>
      <c r="I109" s="4"/>
      <c r="J109" s="5">
        <v>305</v>
      </c>
      <c r="K109" s="6">
        <v>154</v>
      </c>
      <c r="L109" s="7"/>
      <c r="M109" s="8">
        <v>261</v>
      </c>
      <c r="N109" s="9"/>
      <c r="O109" s="10">
        <v>404</v>
      </c>
      <c r="P109" s="11"/>
      <c r="Q109" s="12"/>
      <c r="R109" s="13">
        <v>191</v>
      </c>
      <c r="S109" s="14">
        <v>406</v>
      </c>
      <c r="T109" s="15"/>
    </row>
    <row r="110" spans="1:20" ht="12.75">
      <c r="A110">
        <v>2</v>
      </c>
      <c r="B110">
        <v>2</v>
      </c>
      <c r="C110">
        <v>507</v>
      </c>
      <c r="D110">
        <v>419</v>
      </c>
      <c r="E110">
        <v>191</v>
      </c>
      <c r="F110">
        <v>190</v>
      </c>
      <c r="G110">
        <v>102</v>
      </c>
      <c r="H110">
        <v>111</v>
      </c>
      <c r="I110" s="4">
        <v>2</v>
      </c>
      <c r="J110" s="5"/>
      <c r="K110" s="6">
        <v>2</v>
      </c>
      <c r="L110" s="7"/>
      <c r="M110" s="8"/>
      <c r="N110" s="9">
        <v>2</v>
      </c>
      <c r="O110" s="10"/>
      <c r="P110" s="11">
        <v>1</v>
      </c>
      <c r="Q110" s="12"/>
      <c r="R110" s="13">
        <v>2</v>
      </c>
      <c r="S110" s="14"/>
      <c r="T110" s="15">
        <v>1</v>
      </c>
    </row>
    <row r="111" spans="1:20" ht="12.75">
      <c r="A111">
        <v>940</v>
      </c>
      <c r="B111">
        <v>188</v>
      </c>
      <c r="C111">
        <v>400</v>
      </c>
      <c r="D111">
        <v>443</v>
      </c>
      <c r="E111">
        <v>81</v>
      </c>
      <c r="F111">
        <v>291</v>
      </c>
      <c r="G111">
        <v>752</v>
      </c>
      <c r="H111">
        <v>547</v>
      </c>
      <c r="I111" s="4">
        <v>40</v>
      </c>
      <c r="J111" s="5">
        <v>387</v>
      </c>
      <c r="K111" s="6">
        <v>53</v>
      </c>
      <c r="L111" s="7">
        <v>388</v>
      </c>
      <c r="M111" s="8">
        <v>131</v>
      </c>
      <c r="N111" s="9">
        <v>58</v>
      </c>
      <c r="O111" s="10">
        <v>148</v>
      </c>
      <c r="P111" s="11"/>
      <c r="Q111" s="12">
        <v>331</v>
      </c>
      <c r="R111" s="13">
        <v>70</v>
      </c>
      <c r="S111" s="14">
        <v>148</v>
      </c>
      <c r="T111" s="15"/>
    </row>
    <row r="120" spans="1:20" ht="12.75">
      <c r="A120">
        <v>101</v>
      </c>
      <c r="B120">
        <v>46</v>
      </c>
      <c r="C120">
        <v>88</v>
      </c>
      <c r="D120">
        <v>116</v>
      </c>
      <c r="E120">
        <v>394</v>
      </c>
      <c r="F120">
        <v>275</v>
      </c>
      <c r="G120">
        <v>143</v>
      </c>
      <c r="H120">
        <v>129</v>
      </c>
      <c r="I120" s="4">
        <v>11</v>
      </c>
      <c r="J120" s="5">
        <v>690</v>
      </c>
      <c r="K120" s="6"/>
      <c r="L120" s="7">
        <v>24</v>
      </c>
      <c r="M120" s="8">
        <v>601</v>
      </c>
      <c r="N120" s="9">
        <v>21</v>
      </c>
      <c r="O120" s="10"/>
      <c r="P120" s="11">
        <v>11</v>
      </c>
      <c r="Q120" s="12">
        <v>568</v>
      </c>
      <c r="R120" s="13">
        <v>22</v>
      </c>
      <c r="S120" s="14"/>
      <c r="T120" s="15">
        <v>13</v>
      </c>
    </row>
    <row r="124" spans="1:20" ht="12.75">
      <c r="A124">
        <v>1</v>
      </c>
      <c r="B124">
        <v>1</v>
      </c>
      <c r="C124">
        <v>439</v>
      </c>
      <c r="D124">
        <v>355</v>
      </c>
      <c r="E124">
        <v>180</v>
      </c>
      <c r="F124">
        <v>170</v>
      </c>
      <c r="G124">
        <v>232</v>
      </c>
      <c r="H124">
        <v>186</v>
      </c>
      <c r="I124" s="4">
        <v>1</v>
      </c>
      <c r="J124" s="5"/>
      <c r="K124" s="6">
        <v>1</v>
      </c>
      <c r="L124" s="7"/>
      <c r="M124" s="8"/>
      <c r="N124" s="9">
        <v>1</v>
      </c>
      <c r="O124" s="10">
        <v>1</v>
      </c>
      <c r="P124" s="11"/>
      <c r="Q124" s="12"/>
      <c r="R124" s="13">
        <v>1</v>
      </c>
      <c r="S124" s="14">
        <v>1</v>
      </c>
      <c r="T124" s="15"/>
    </row>
    <row r="125" spans="1:20" ht="12.75">
      <c r="A125">
        <v>36</v>
      </c>
      <c r="B125">
        <v>13</v>
      </c>
      <c r="C125">
        <v>297</v>
      </c>
      <c r="D125">
        <v>256</v>
      </c>
      <c r="E125">
        <v>125</v>
      </c>
      <c r="F125">
        <v>225</v>
      </c>
      <c r="G125">
        <v>21</v>
      </c>
      <c r="H125">
        <v>163</v>
      </c>
      <c r="I125" s="4"/>
      <c r="J125" s="5">
        <v>6</v>
      </c>
      <c r="K125" s="6"/>
      <c r="L125" s="7">
        <v>5</v>
      </c>
      <c r="M125" s="8"/>
      <c r="N125" s="9">
        <v>2</v>
      </c>
      <c r="O125" s="10"/>
      <c r="P125" s="11">
        <v>2</v>
      </c>
      <c r="Q125" s="12"/>
      <c r="R125" s="13">
        <v>2</v>
      </c>
      <c r="S125" s="14"/>
      <c r="T125" s="15">
        <v>1</v>
      </c>
    </row>
    <row r="126" spans="1:20" ht="12.75">
      <c r="A126">
        <v>13</v>
      </c>
      <c r="B126">
        <v>8</v>
      </c>
      <c r="C126">
        <v>187</v>
      </c>
      <c r="D126">
        <v>184</v>
      </c>
      <c r="E126">
        <v>136</v>
      </c>
      <c r="F126">
        <v>104</v>
      </c>
      <c r="G126">
        <v>135</v>
      </c>
      <c r="H126">
        <v>142</v>
      </c>
      <c r="I126" s="4">
        <v>6</v>
      </c>
      <c r="J126" s="5">
        <v>8</v>
      </c>
      <c r="K126" s="6">
        <v>5</v>
      </c>
      <c r="L126" s="7">
        <v>9</v>
      </c>
      <c r="M126" s="8">
        <v>3</v>
      </c>
      <c r="N126" s="9">
        <v>7</v>
      </c>
      <c r="O126" s="10">
        <v>9</v>
      </c>
      <c r="P126" s="11">
        <v>1</v>
      </c>
      <c r="Q126" s="12">
        <v>2</v>
      </c>
      <c r="R126" s="13">
        <v>8</v>
      </c>
      <c r="S126" s="14">
        <v>8</v>
      </c>
      <c r="T126" s="15">
        <v>2</v>
      </c>
    </row>
    <row r="134" spans="1:20" ht="12.75">
      <c r="A134">
        <v>85</v>
      </c>
      <c r="B134">
        <v>38</v>
      </c>
      <c r="C134">
        <v>301</v>
      </c>
      <c r="D134">
        <v>595</v>
      </c>
      <c r="E134">
        <v>86</v>
      </c>
      <c r="F134">
        <v>274</v>
      </c>
      <c r="G134">
        <v>61</v>
      </c>
      <c r="H134">
        <v>217</v>
      </c>
      <c r="I134" s="4"/>
      <c r="J134" s="5">
        <v>21</v>
      </c>
      <c r="K134" s="6">
        <v>17</v>
      </c>
      <c r="L134" s="7"/>
      <c r="M134" s="8"/>
      <c r="N134" s="9">
        <v>27</v>
      </c>
      <c r="O134" s="10"/>
      <c r="P134" s="11">
        <v>9</v>
      </c>
      <c r="Q134" s="12"/>
      <c r="R134" s="13">
        <v>5</v>
      </c>
      <c r="S134" s="14">
        <v>34</v>
      </c>
      <c r="T134" s="15"/>
    </row>
    <row r="135" spans="1:20" ht="12.75">
      <c r="A135">
        <v>97</v>
      </c>
      <c r="B135">
        <v>26</v>
      </c>
      <c r="C135">
        <v>448</v>
      </c>
      <c r="D135">
        <v>543</v>
      </c>
      <c r="E135">
        <v>819</v>
      </c>
      <c r="F135">
        <v>740</v>
      </c>
      <c r="G135">
        <v>259</v>
      </c>
      <c r="H135">
        <v>208</v>
      </c>
      <c r="I135" s="4">
        <v>5</v>
      </c>
      <c r="J135" s="5">
        <v>30</v>
      </c>
      <c r="K135" s="6">
        <v>7</v>
      </c>
      <c r="L135" s="7">
        <v>30</v>
      </c>
      <c r="M135" s="8">
        <v>10</v>
      </c>
      <c r="N135" s="9"/>
      <c r="O135" s="10">
        <v>11</v>
      </c>
      <c r="P135" s="11"/>
      <c r="Q135" s="12">
        <v>12</v>
      </c>
      <c r="R135" s="13"/>
      <c r="S135" s="14">
        <v>17</v>
      </c>
      <c r="T135" s="15"/>
    </row>
    <row r="138" spans="1:20" ht="12.75">
      <c r="A138">
        <v>14</v>
      </c>
      <c r="B138">
        <v>3</v>
      </c>
      <c r="C138">
        <v>1436</v>
      </c>
      <c r="D138">
        <v>1464</v>
      </c>
      <c r="E138">
        <v>110</v>
      </c>
      <c r="F138">
        <v>193</v>
      </c>
      <c r="G138">
        <v>24</v>
      </c>
      <c r="H138">
        <v>143</v>
      </c>
      <c r="I138" s="4">
        <v>3</v>
      </c>
      <c r="J138" s="5"/>
      <c r="K138" s="6">
        <v>3</v>
      </c>
      <c r="L138" s="7"/>
      <c r="M138" s="8"/>
      <c r="N138" s="9">
        <v>3</v>
      </c>
      <c r="O138" s="10">
        <v>2</v>
      </c>
      <c r="P138" s="11">
        <v>21</v>
      </c>
      <c r="Q138" s="12"/>
      <c r="R138" s="13">
        <v>2</v>
      </c>
      <c r="S138" s="14">
        <v>2</v>
      </c>
      <c r="T138" s="15">
        <v>19</v>
      </c>
    </row>
    <row r="141" spans="1:20" ht="12.75">
      <c r="A141">
        <v>10</v>
      </c>
      <c r="B141">
        <v>2</v>
      </c>
      <c r="C141">
        <v>323</v>
      </c>
      <c r="D141">
        <v>284</v>
      </c>
      <c r="E141">
        <v>90</v>
      </c>
      <c r="F141">
        <v>214</v>
      </c>
      <c r="G141">
        <v>21</v>
      </c>
      <c r="H141">
        <v>174</v>
      </c>
      <c r="I141" s="4"/>
      <c r="J141" s="5">
        <v>1</v>
      </c>
      <c r="K141" s="6"/>
      <c r="L141" s="7">
        <v>1</v>
      </c>
      <c r="M141" s="8"/>
      <c r="N141" s="9">
        <v>1</v>
      </c>
      <c r="O141" s="10"/>
      <c r="P141" s="11">
        <v>2</v>
      </c>
      <c r="Q141" s="12"/>
      <c r="R141" s="13">
        <v>1</v>
      </c>
      <c r="S141" s="14"/>
      <c r="T141" s="15">
        <v>1</v>
      </c>
    </row>
    <row r="143" spans="1:20" ht="12.75">
      <c r="A143">
        <v>2</v>
      </c>
      <c r="B143">
        <v>1</v>
      </c>
      <c r="C143">
        <v>436</v>
      </c>
      <c r="D143">
        <v>316</v>
      </c>
      <c r="E143">
        <v>353</v>
      </c>
      <c r="F143">
        <v>361</v>
      </c>
      <c r="G143">
        <v>112</v>
      </c>
      <c r="H143">
        <v>103</v>
      </c>
      <c r="I143" s="4">
        <v>7</v>
      </c>
      <c r="J143" s="5">
        <v>1</v>
      </c>
      <c r="K143" s="6">
        <v>12</v>
      </c>
      <c r="L143" s="7">
        <v>1</v>
      </c>
      <c r="M143" s="8">
        <v>3</v>
      </c>
      <c r="N143" s="9">
        <v>1</v>
      </c>
      <c r="O143" s="10">
        <v>1</v>
      </c>
      <c r="P143" s="11">
        <v>1</v>
      </c>
      <c r="Q143" s="12">
        <v>3</v>
      </c>
      <c r="R143" s="13">
        <v>1</v>
      </c>
      <c r="S143" s="14">
        <v>1</v>
      </c>
      <c r="T143" s="15">
        <v>1</v>
      </c>
    </row>
    <row r="152" spans="1:20" ht="12.75">
      <c r="A152">
        <v>617</v>
      </c>
      <c r="B152">
        <v>90</v>
      </c>
      <c r="C152">
        <v>809</v>
      </c>
      <c r="D152">
        <v>707</v>
      </c>
      <c r="E152">
        <v>106</v>
      </c>
      <c r="F152">
        <v>237</v>
      </c>
      <c r="G152">
        <v>27</v>
      </c>
      <c r="H152">
        <v>166</v>
      </c>
      <c r="I152" s="4">
        <v>24</v>
      </c>
      <c r="J152" s="5"/>
      <c r="K152" s="6">
        <v>28</v>
      </c>
      <c r="L152" s="7"/>
      <c r="M152" s="8">
        <v>26</v>
      </c>
      <c r="N152" s="9">
        <v>51</v>
      </c>
      <c r="O152" s="10"/>
      <c r="P152" s="11">
        <v>20</v>
      </c>
      <c r="Q152" s="12">
        <v>34</v>
      </c>
      <c r="R152" s="13">
        <v>44</v>
      </c>
      <c r="S152" s="14"/>
      <c r="T152" s="15">
        <v>16</v>
      </c>
    </row>
    <row r="155" spans="1:20" ht="12.75">
      <c r="A155">
        <v>61</v>
      </c>
      <c r="B155">
        <v>28</v>
      </c>
      <c r="C155">
        <v>1363</v>
      </c>
      <c r="D155">
        <v>1244</v>
      </c>
      <c r="E155">
        <v>735</v>
      </c>
      <c r="F155">
        <v>561</v>
      </c>
      <c r="G155">
        <v>224</v>
      </c>
      <c r="H155">
        <v>270</v>
      </c>
      <c r="I155" s="4">
        <v>6</v>
      </c>
      <c r="J155" s="5"/>
      <c r="K155" s="6">
        <v>6</v>
      </c>
      <c r="L155" s="7"/>
      <c r="M155" s="8">
        <v>10</v>
      </c>
      <c r="N155" s="9"/>
      <c r="O155" s="10"/>
      <c r="P155" s="11">
        <v>4</v>
      </c>
      <c r="Q155" s="12"/>
      <c r="R155" s="13">
        <v>8</v>
      </c>
      <c r="S155" s="14"/>
      <c r="T155" s="15">
        <v>4</v>
      </c>
    </row>
    <row r="156" spans="1:20" ht="12.75">
      <c r="A156">
        <v>2</v>
      </c>
      <c r="B156">
        <v>2</v>
      </c>
      <c r="C156">
        <v>443</v>
      </c>
      <c r="D156">
        <v>305</v>
      </c>
      <c r="E156">
        <v>189</v>
      </c>
      <c r="F156">
        <v>355</v>
      </c>
      <c r="G156">
        <v>13</v>
      </c>
      <c r="H156">
        <v>134</v>
      </c>
      <c r="I156" s="4">
        <v>1</v>
      </c>
      <c r="J156" s="5">
        <v>7</v>
      </c>
      <c r="K156" s="6">
        <v>1</v>
      </c>
      <c r="L156" s="7">
        <v>8</v>
      </c>
      <c r="M156" s="8">
        <v>6</v>
      </c>
      <c r="N156" s="9">
        <v>1</v>
      </c>
      <c r="O156" s="10">
        <v>1</v>
      </c>
      <c r="P156" s="11">
        <v>1</v>
      </c>
      <c r="Q156" s="12">
        <v>6</v>
      </c>
      <c r="R156" s="13">
        <v>1</v>
      </c>
      <c r="S156" s="14">
        <v>1</v>
      </c>
      <c r="T156" s="15">
        <v>3</v>
      </c>
    </row>
    <row r="174" spans="1:20" ht="12.75">
      <c r="A174">
        <v>200</v>
      </c>
      <c r="B174">
        <v>71</v>
      </c>
      <c r="C174">
        <v>1163</v>
      </c>
      <c r="D174">
        <v>1297</v>
      </c>
      <c r="E174">
        <v>177</v>
      </c>
      <c r="F174">
        <v>799</v>
      </c>
      <c r="G174">
        <v>96</v>
      </c>
      <c r="H174">
        <v>527</v>
      </c>
      <c r="I174" s="4"/>
      <c r="K174" s="6">
        <v>24</v>
      </c>
      <c r="N174" s="9">
        <v>32</v>
      </c>
      <c r="P174" s="11">
        <v>21</v>
      </c>
      <c r="Q174" s="12">
        <v>43</v>
      </c>
      <c r="R174" s="13"/>
      <c r="S174" s="14">
        <v>56</v>
      </c>
      <c r="T174" s="15"/>
    </row>
    <row r="175" spans="1:20" ht="12.75">
      <c r="A175">
        <v>23</v>
      </c>
      <c r="B175">
        <v>10</v>
      </c>
      <c r="C175">
        <v>950</v>
      </c>
      <c r="D175">
        <v>1023</v>
      </c>
      <c r="E175">
        <v>170</v>
      </c>
      <c r="F175">
        <v>416</v>
      </c>
      <c r="G175">
        <v>47</v>
      </c>
      <c r="H175">
        <v>212</v>
      </c>
      <c r="I175" s="4">
        <v>8</v>
      </c>
      <c r="K175" s="6">
        <v>8</v>
      </c>
      <c r="N175" s="9">
        <v>9</v>
      </c>
      <c r="P175" s="11">
        <v>4</v>
      </c>
      <c r="Q175" s="12"/>
      <c r="R175" s="13">
        <v>9</v>
      </c>
      <c r="S175" s="14"/>
      <c r="T175" s="15">
        <v>2</v>
      </c>
    </row>
    <row r="177" spans="1:20" ht="12.75">
      <c r="A177">
        <v>19</v>
      </c>
      <c r="B177">
        <v>3</v>
      </c>
      <c r="C177">
        <v>579</v>
      </c>
      <c r="D177">
        <v>563</v>
      </c>
      <c r="E177">
        <v>816</v>
      </c>
      <c r="F177">
        <v>752</v>
      </c>
      <c r="G177">
        <v>195</v>
      </c>
      <c r="H177">
        <v>201</v>
      </c>
      <c r="I177" s="4"/>
      <c r="J177" s="5">
        <v>1</v>
      </c>
      <c r="K177" s="6"/>
      <c r="L177" s="7">
        <v>1</v>
      </c>
      <c r="M177" s="8">
        <v>1</v>
      </c>
      <c r="N177" s="9"/>
      <c r="O177" s="10"/>
      <c r="P177" s="11">
        <v>1</v>
      </c>
      <c r="Q177" s="12">
        <v>1</v>
      </c>
      <c r="R177" s="13"/>
      <c r="S177" s="14"/>
      <c r="T177" s="15">
        <v>1</v>
      </c>
    </row>
    <row r="178" spans="1:20" ht="12.75">
      <c r="A178">
        <v>10</v>
      </c>
      <c r="B178">
        <v>2</v>
      </c>
      <c r="C178">
        <v>109</v>
      </c>
      <c r="D178">
        <v>147</v>
      </c>
      <c r="E178">
        <v>2</v>
      </c>
      <c r="F178">
        <v>22</v>
      </c>
      <c r="G178">
        <v>1</v>
      </c>
      <c r="H178">
        <v>69</v>
      </c>
      <c r="I178" s="4">
        <v>1</v>
      </c>
      <c r="J178" s="5">
        <v>1</v>
      </c>
      <c r="K178" s="6">
        <v>1</v>
      </c>
      <c r="L178" s="7">
        <v>1</v>
      </c>
      <c r="M178" s="8">
        <v>1</v>
      </c>
      <c r="N178" s="9">
        <v>1</v>
      </c>
      <c r="O178" s="10">
        <v>1</v>
      </c>
      <c r="P178" s="11">
        <v>2</v>
      </c>
      <c r="Q178" s="12">
        <v>1</v>
      </c>
      <c r="R178" s="13">
        <v>1</v>
      </c>
      <c r="S178" s="14">
        <v>1</v>
      </c>
      <c r="T178" s="15">
        <v>1</v>
      </c>
    </row>
    <row r="196" spans="1:20" ht="12.75">
      <c r="A196">
        <v>11</v>
      </c>
      <c r="B196">
        <v>1</v>
      </c>
      <c r="C196">
        <v>29</v>
      </c>
      <c r="D196">
        <v>27</v>
      </c>
      <c r="E196">
        <v>308</v>
      </c>
      <c r="F196">
        <v>399</v>
      </c>
      <c r="G196">
        <v>15</v>
      </c>
      <c r="H196">
        <v>185</v>
      </c>
      <c r="I196" s="4">
        <v>3</v>
      </c>
      <c r="J196" s="5">
        <v>1</v>
      </c>
      <c r="K196" s="6">
        <v>4</v>
      </c>
      <c r="L196" s="7">
        <v>1</v>
      </c>
      <c r="M196" s="8">
        <v>1</v>
      </c>
      <c r="N196" s="9">
        <v>5</v>
      </c>
      <c r="O196" s="10">
        <v>1</v>
      </c>
      <c r="P196" s="11">
        <v>4</v>
      </c>
      <c r="Q196" s="12">
        <v>1</v>
      </c>
      <c r="R196" s="13">
        <v>4</v>
      </c>
      <c r="S196" s="14">
        <v>1</v>
      </c>
      <c r="T196" s="15">
        <v>2</v>
      </c>
    </row>
    <row r="199" spans="1:20" ht="12.75">
      <c r="A199">
        <v>6</v>
      </c>
      <c r="B199">
        <v>1</v>
      </c>
      <c r="C199">
        <v>294</v>
      </c>
      <c r="D199">
        <v>304</v>
      </c>
      <c r="E199">
        <v>19</v>
      </c>
      <c r="F199">
        <v>131</v>
      </c>
      <c r="G199">
        <v>12</v>
      </c>
      <c r="H199">
        <v>70</v>
      </c>
      <c r="I199" s="4">
        <v>1</v>
      </c>
      <c r="J199" s="5">
        <v>1</v>
      </c>
      <c r="K199" s="6">
        <v>1</v>
      </c>
      <c r="L199" s="7">
        <v>2</v>
      </c>
      <c r="M199" s="8">
        <v>9</v>
      </c>
      <c r="N199" s="9">
        <v>1</v>
      </c>
      <c r="O199" s="10">
        <v>1</v>
      </c>
      <c r="P199" s="11">
        <v>1</v>
      </c>
      <c r="Q199" s="12">
        <v>1</v>
      </c>
      <c r="R199" s="13">
        <v>2</v>
      </c>
      <c r="S199" s="14">
        <v>1</v>
      </c>
      <c r="T199" s="15">
        <v>3</v>
      </c>
    </row>
    <row r="209" spans="1:20" ht="12.75">
      <c r="A209">
        <v>38</v>
      </c>
      <c r="B209">
        <v>13</v>
      </c>
      <c r="C209">
        <v>928</v>
      </c>
      <c r="D209">
        <v>894</v>
      </c>
      <c r="E209">
        <v>426</v>
      </c>
      <c r="F209">
        <v>181</v>
      </c>
      <c r="G209">
        <v>233</v>
      </c>
      <c r="H209">
        <v>137</v>
      </c>
      <c r="I209" s="4">
        <v>5</v>
      </c>
      <c r="J209" s="5"/>
      <c r="K209" s="6">
        <v>5</v>
      </c>
      <c r="L209" s="7"/>
      <c r="M209" s="8"/>
      <c r="N209" s="9">
        <v>4</v>
      </c>
      <c r="O209" s="10">
        <v>9</v>
      </c>
      <c r="P209" s="11"/>
      <c r="Q209" s="12"/>
      <c r="R209" s="13">
        <v>3</v>
      </c>
      <c r="S209" s="14"/>
      <c r="T209" s="15">
        <v>4</v>
      </c>
    </row>
    <row r="210" spans="1:20" ht="12.75">
      <c r="A210">
        <v>142</v>
      </c>
      <c r="B210">
        <v>52</v>
      </c>
      <c r="C210">
        <v>841</v>
      </c>
      <c r="D210">
        <v>841</v>
      </c>
      <c r="E210">
        <v>692</v>
      </c>
      <c r="F210">
        <v>841</v>
      </c>
      <c r="G210">
        <v>122</v>
      </c>
      <c r="H210">
        <v>129</v>
      </c>
      <c r="I210" s="4">
        <v>16</v>
      </c>
      <c r="J210" s="5"/>
      <c r="K210" s="6">
        <v>24</v>
      </c>
      <c r="L210" s="7"/>
      <c r="M210" s="8">
        <v>22</v>
      </c>
      <c r="N210" s="9"/>
      <c r="O210" s="10"/>
      <c r="P210" s="11">
        <v>17</v>
      </c>
      <c r="Q210" s="12">
        <v>22</v>
      </c>
      <c r="R210" s="13"/>
      <c r="S210" s="14"/>
      <c r="T210" s="15">
        <v>16</v>
      </c>
    </row>
    <row r="211" spans="1:20" ht="12.75">
      <c r="A211">
        <v>563</v>
      </c>
      <c r="B211">
        <v>169</v>
      </c>
      <c r="C211">
        <v>444</v>
      </c>
      <c r="D211">
        <v>381</v>
      </c>
      <c r="E211">
        <v>359</v>
      </c>
      <c r="F211">
        <v>329</v>
      </c>
      <c r="G211">
        <v>109</v>
      </c>
      <c r="H211">
        <v>173</v>
      </c>
      <c r="I211" s="4">
        <v>36</v>
      </c>
      <c r="J211" s="5">
        <v>89</v>
      </c>
      <c r="K211" s="6">
        <v>51</v>
      </c>
      <c r="L211" s="7">
        <v>92</v>
      </c>
      <c r="M211" s="8">
        <v>61</v>
      </c>
      <c r="N211" s="9">
        <v>95</v>
      </c>
      <c r="O211" s="10">
        <v>165</v>
      </c>
      <c r="P211" s="11">
        <v>49</v>
      </c>
      <c r="Q211" s="12">
        <v>69</v>
      </c>
      <c r="R211" s="13">
        <v>87</v>
      </c>
      <c r="S211" s="14">
        <v>494</v>
      </c>
      <c r="T211" s="15">
        <v>35</v>
      </c>
    </row>
    <row r="220" spans="1:20" ht="12.75">
      <c r="A220">
        <v>8</v>
      </c>
      <c r="B220">
        <v>3</v>
      </c>
      <c r="C220">
        <v>549</v>
      </c>
      <c r="D220">
        <v>770</v>
      </c>
      <c r="E220">
        <v>95</v>
      </c>
      <c r="F220">
        <v>600</v>
      </c>
      <c r="G220">
        <v>32</v>
      </c>
      <c r="H220">
        <v>270</v>
      </c>
      <c r="I220" s="4">
        <v>2</v>
      </c>
      <c r="J220" s="5">
        <v>1</v>
      </c>
      <c r="K220" s="6">
        <v>2</v>
      </c>
      <c r="L220" s="7">
        <v>1</v>
      </c>
      <c r="M220" s="8"/>
      <c r="N220" s="9">
        <v>2</v>
      </c>
      <c r="O220" s="10">
        <v>2</v>
      </c>
      <c r="P220" s="11">
        <v>2</v>
      </c>
      <c r="Q220" s="12">
        <v>2</v>
      </c>
      <c r="R220" s="13"/>
      <c r="S220" s="14">
        <v>2</v>
      </c>
      <c r="T220" s="15"/>
    </row>
    <row r="224" spans="1:20" ht="12.75">
      <c r="A224">
        <v>29</v>
      </c>
      <c r="B224">
        <v>7</v>
      </c>
      <c r="C224">
        <v>294</v>
      </c>
      <c r="D224">
        <v>476</v>
      </c>
      <c r="E224">
        <v>11</v>
      </c>
      <c r="F224">
        <v>101</v>
      </c>
      <c r="G224">
        <v>9</v>
      </c>
      <c r="H224">
        <v>131</v>
      </c>
      <c r="I224" s="4"/>
      <c r="J224" s="5">
        <v>2</v>
      </c>
      <c r="K224" s="6">
        <v>7</v>
      </c>
      <c r="L224" s="7">
        <v>3</v>
      </c>
      <c r="M224" s="8">
        <v>6</v>
      </c>
      <c r="N224" s="9">
        <v>3</v>
      </c>
      <c r="O224" s="10"/>
      <c r="P224" s="11">
        <v>1</v>
      </c>
      <c r="Q224" s="12">
        <v>5</v>
      </c>
      <c r="R224" s="13">
        <v>4</v>
      </c>
      <c r="S224" s="14">
        <v>12</v>
      </c>
      <c r="T224" s="15">
        <v>1</v>
      </c>
    </row>
    <row r="228" spans="1:20" ht="12.75">
      <c r="A228">
        <v>5</v>
      </c>
      <c r="B228">
        <v>3</v>
      </c>
      <c r="C228">
        <v>804</v>
      </c>
      <c r="D228">
        <v>801</v>
      </c>
      <c r="E228">
        <v>497</v>
      </c>
      <c r="F228">
        <v>339</v>
      </c>
      <c r="G228">
        <v>220</v>
      </c>
      <c r="H228">
        <v>127</v>
      </c>
      <c r="I228" s="4">
        <v>1</v>
      </c>
      <c r="J228" s="5"/>
      <c r="K228" s="6">
        <v>3</v>
      </c>
      <c r="L228" s="7"/>
      <c r="M228" s="8">
        <v>3</v>
      </c>
      <c r="N228" s="9"/>
      <c r="O228" s="10">
        <v>3</v>
      </c>
      <c r="P228" s="11"/>
      <c r="Q228" s="12">
        <v>3</v>
      </c>
      <c r="R228" s="13">
        <v>2</v>
      </c>
      <c r="S228" s="14">
        <v>3</v>
      </c>
      <c r="T228" s="15">
        <v>1</v>
      </c>
    </row>
    <row r="232" spans="1:20" ht="12.75">
      <c r="A232">
        <v>23</v>
      </c>
      <c r="B232">
        <v>8</v>
      </c>
      <c r="C232">
        <v>341</v>
      </c>
      <c r="D232">
        <v>341</v>
      </c>
      <c r="E232">
        <v>39</v>
      </c>
      <c r="F232">
        <v>345</v>
      </c>
      <c r="G232">
        <v>12</v>
      </c>
      <c r="H232">
        <v>306</v>
      </c>
      <c r="I232" s="4"/>
      <c r="J232" s="5">
        <v>4</v>
      </c>
      <c r="K232" s="6">
        <v>3</v>
      </c>
      <c r="L232" s="7">
        <v>5</v>
      </c>
      <c r="M232" s="8">
        <v>6</v>
      </c>
      <c r="N232" s="9">
        <v>5</v>
      </c>
      <c r="O232" s="10">
        <v>4</v>
      </c>
      <c r="P232" s="11">
        <v>4</v>
      </c>
      <c r="Q232" s="12">
        <v>5</v>
      </c>
      <c r="R232" s="13">
        <v>4</v>
      </c>
      <c r="S232" s="14">
        <v>5</v>
      </c>
      <c r="T232" s="15"/>
    </row>
    <row r="245" spans="1:20" ht="12.75">
      <c r="A245">
        <v>2</v>
      </c>
      <c r="B245">
        <v>1</v>
      </c>
      <c r="C245">
        <v>912</v>
      </c>
      <c r="D245">
        <v>744</v>
      </c>
      <c r="E245">
        <v>474</v>
      </c>
      <c r="F245">
        <v>48</v>
      </c>
      <c r="G245">
        <v>109</v>
      </c>
      <c r="H245">
        <v>94</v>
      </c>
      <c r="I245" s="4">
        <v>1</v>
      </c>
      <c r="J245" s="5"/>
      <c r="K245" s="6">
        <v>2</v>
      </c>
      <c r="L245" s="7">
        <v>1</v>
      </c>
      <c r="M245" s="8">
        <v>1</v>
      </c>
      <c r="N245" s="9"/>
      <c r="O245" s="10"/>
      <c r="P245" s="11">
        <v>1</v>
      </c>
      <c r="Q245" s="12"/>
      <c r="R245" s="13">
        <v>1</v>
      </c>
      <c r="S245" s="14"/>
      <c r="T245" s="15">
        <v>1</v>
      </c>
    </row>
    <row r="248" spans="1:20" ht="12.75">
      <c r="A248">
        <v>1123</v>
      </c>
      <c r="B248">
        <v>268</v>
      </c>
      <c r="C248">
        <v>1146</v>
      </c>
      <c r="D248">
        <v>1066</v>
      </c>
      <c r="E248">
        <v>770</v>
      </c>
      <c r="F248">
        <v>851</v>
      </c>
      <c r="G248">
        <v>26</v>
      </c>
      <c r="H248">
        <v>499</v>
      </c>
      <c r="I248" s="4"/>
      <c r="J248" s="5"/>
      <c r="K248" s="6">
        <v>73</v>
      </c>
      <c r="L248" s="7"/>
      <c r="M248" s="8">
        <v>144</v>
      </c>
      <c r="N248" s="9"/>
      <c r="O248" s="10"/>
      <c r="P248" s="11">
        <v>32</v>
      </c>
      <c r="Q248" s="12">
        <v>143</v>
      </c>
      <c r="R248" s="13"/>
      <c r="S248" s="14">
        <v>215</v>
      </c>
      <c r="T248" s="15"/>
    </row>
    <row r="249" spans="1:20" ht="12.75">
      <c r="A249">
        <v>1590</v>
      </c>
      <c r="B249">
        <v>404</v>
      </c>
      <c r="C249">
        <v>777</v>
      </c>
      <c r="D249">
        <v>1001</v>
      </c>
      <c r="E249">
        <v>204</v>
      </c>
      <c r="F249">
        <v>781</v>
      </c>
      <c r="G249">
        <v>150</v>
      </c>
      <c r="H249">
        <v>498</v>
      </c>
      <c r="I249" s="4"/>
      <c r="J249" s="5">
        <v>236</v>
      </c>
      <c r="K249" s="6">
        <v>124</v>
      </c>
      <c r="L249" s="7"/>
      <c r="M249" s="8"/>
      <c r="N249" s="9">
        <v>170</v>
      </c>
      <c r="O249" s="10"/>
      <c r="P249" s="11">
        <v>107</v>
      </c>
      <c r="Q249" s="12">
        <v>198</v>
      </c>
      <c r="R249" s="13"/>
      <c r="S249" s="14">
        <v>299</v>
      </c>
      <c r="T249" s="15"/>
    </row>
    <row r="250" spans="1:20" ht="12.75">
      <c r="A250">
        <v>12</v>
      </c>
      <c r="B250">
        <v>5</v>
      </c>
      <c r="C250">
        <v>485</v>
      </c>
      <c r="D250">
        <v>551</v>
      </c>
      <c r="E250">
        <v>38</v>
      </c>
      <c r="F250">
        <v>163</v>
      </c>
      <c r="G250">
        <v>19</v>
      </c>
      <c r="H250">
        <v>172</v>
      </c>
      <c r="I250" s="4">
        <v>5</v>
      </c>
      <c r="J250" s="5">
        <v>16</v>
      </c>
      <c r="K250" s="6">
        <v>14</v>
      </c>
      <c r="L250" s="7">
        <v>1</v>
      </c>
      <c r="M250" s="8"/>
      <c r="N250" s="9">
        <v>5</v>
      </c>
      <c r="O250" s="10">
        <v>7</v>
      </c>
      <c r="P250" s="11">
        <v>4</v>
      </c>
      <c r="Q250" s="12"/>
      <c r="R250" s="13">
        <v>1</v>
      </c>
      <c r="S250" s="14">
        <v>16</v>
      </c>
      <c r="T250" s="15">
        <v>1</v>
      </c>
    </row>
    <row r="256" spans="1:20" ht="12.75">
      <c r="A256">
        <v>1</v>
      </c>
      <c r="B256">
        <v>1</v>
      </c>
      <c r="C256">
        <v>345</v>
      </c>
      <c r="D256">
        <v>258</v>
      </c>
      <c r="E256">
        <v>63</v>
      </c>
      <c r="F256">
        <v>33</v>
      </c>
      <c r="G256">
        <v>15</v>
      </c>
      <c r="H256">
        <v>2</v>
      </c>
      <c r="I256" s="4">
        <v>1</v>
      </c>
      <c r="J256" s="5">
        <v>20</v>
      </c>
      <c r="K256" s="6">
        <v>1</v>
      </c>
      <c r="L256" s="7">
        <v>19</v>
      </c>
      <c r="M256" s="8">
        <v>7</v>
      </c>
      <c r="N256" s="9">
        <v>1</v>
      </c>
      <c r="O256" s="10"/>
      <c r="P256" s="11">
        <v>1</v>
      </c>
      <c r="Q256" s="12">
        <v>6</v>
      </c>
      <c r="R256" s="13">
        <v>1</v>
      </c>
      <c r="S256" s="14"/>
      <c r="T256" s="15">
        <v>1</v>
      </c>
    </row>
    <row r="262" spans="1:20" ht="12.75">
      <c r="A262">
        <v>1</v>
      </c>
      <c r="B262">
        <v>1</v>
      </c>
      <c r="C262">
        <v>946</v>
      </c>
      <c r="D262">
        <v>927</v>
      </c>
      <c r="E262">
        <v>84</v>
      </c>
      <c r="F262">
        <v>157</v>
      </c>
      <c r="G262">
        <v>197</v>
      </c>
      <c r="H262">
        <v>180</v>
      </c>
      <c r="I262" s="4">
        <v>1</v>
      </c>
      <c r="J262" s="5"/>
      <c r="K262" s="6">
        <v>1</v>
      </c>
      <c r="L262" s="7"/>
      <c r="M262" s="8"/>
      <c r="N262" s="9">
        <v>1</v>
      </c>
      <c r="O262" s="10"/>
      <c r="P262" s="11">
        <v>1</v>
      </c>
      <c r="Q262" s="12"/>
      <c r="R262" s="13">
        <v>1</v>
      </c>
      <c r="S262" s="14"/>
      <c r="T262" s="15">
        <v>1</v>
      </c>
    </row>
    <row r="263" spans="1:20" ht="12.75">
      <c r="A263">
        <v>1</v>
      </c>
      <c r="B263">
        <v>1</v>
      </c>
      <c r="C263">
        <v>936</v>
      </c>
      <c r="D263">
        <v>886</v>
      </c>
      <c r="E263">
        <v>587</v>
      </c>
      <c r="F263">
        <v>671</v>
      </c>
      <c r="G263">
        <v>13</v>
      </c>
      <c r="H263">
        <v>432</v>
      </c>
      <c r="I263" s="4"/>
      <c r="J263" s="5"/>
      <c r="K263" s="6">
        <v>1</v>
      </c>
      <c r="L263" s="7"/>
      <c r="M263" s="8">
        <v>1</v>
      </c>
      <c r="N263" s="9"/>
      <c r="O263" s="10"/>
      <c r="P263" s="11">
        <v>1</v>
      </c>
      <c r="Q263" s="12">
        <v>1</v>
      </c>
      <c r="R263" s="13"/>
      <c r="S263" s="14">
        <v>1</v>
      </c>
      <c r="T263" s="15"/>
    </row>
    <row r="264" spans="1:20" ht="12.75">
      <c r="A264">
        <v>94</v>
      </c>
      <c r="B264">
        <v>16</v>
      </c>
      <c r="C264">
        <v>367</v>
      </c>
      <c r="D264">
        <v>485</v>
      </c>
      <c r="E264">
        <v>5</v>
      </c>
      <c r="F264">
        <v>352</v>
      </c>
      <c r="G264">
        <v>2</v>
      </c>
      <c r="H264">
        <v>222</v>
      </c>
      <c r="I264" s="4"/>
      <c r="J264" s="5">
        <v>8</v>
      </c>
      <c r="K264" s="6"/>
      <c r="L264" s="7">
        <v>9</v>
      </c>
      <c r="M264" s="8">
        <v>253</v>
      </c>
      <c r="N264" s="9">
        <v>12</v>
      </c>
      <c r="O264" s="10">
        <v>372</v>
      </c>
      <c r="P264" s="11">
        <v>9</v>
      </c>
      <c r="Q264" s="12">
        <v>252</v>
      </c>
      <c r="R264" s="13">
        <v>10</v>
      </c>
      <c r="S264" s="14">
        <v>11</v>
      </c>
      <c r="T264" s="15"/>
    </row>
    <row r="266" spans="1:20" ht="12.75">
      <c r="A266">
        <v>63</v>
      </c>
      <c r="B266">
        <v>29</v>
      </c>
      <c r="C266">
        <v>331</v>
      </c>
      <c r="D266">
        <v>330</v>
      </c>
      <c r="E266">
        <v>123</v>
      </c>
      <c r="F266">
        <v>12</v>
      </c>
      <c r="G266">
        <v>69</v>
      </c>
      <c r="H266">
        <v>231</v>
      </c>
      <c r="I266" s="4">
        <v>229</v>
      </c>
      <c r="J266" s="5">
        <v>16</v>
      </c>
      <c r="K266" s="6">
        <v>48</v>
      </c>
      <c r="L266" s="7">
        <v>17</v>
      </c>
      <c r="M266" s="8">
        <v>15</v>
      </c>
      <c r="N266" s="9">
        <v>18</v>
      </c>
      <c r="O266" s="10">
        <v>9</v>
      </c>
      <c r="P266" s="11">
        <v>20</v>
      </c>
      <c r="Q266" s="12">
        <v>19</v>
      </c>
      <c r="R266" s="13">
        <v>13</v>
      </c>
      <c r="S266" s="14">
        <v>22</v>
      </c>
      <c r="T266" s="15">
        <v>4</v>
      </c>
    </row>
    <row r="274" spans="1:20" ht="12.75">
      <c r="A274">
        <v>115</v>
      </c>
      <c r="B274">
        <v>34</v>
      </c>
      <c r="C274">
        <v>291</v>
      </c>
      <c r="D274">
        <v>253</v>
      </c>
      <c r="E274">
        <v>297</v>
      </c>
      <c r="F274">
        <v>145</v>
      </c>
      <c r="G274">
        <v>123</v>
      </c>
      <c r="H274">
        <v>116</v>
      </c>
      <c r="I274" s="4"/>
      <c r="J274" s="5">
        <v>19</v>
      </c>
      <c r="K274" s="6"/>
      <c r="L274" s="7">
        <v>18</v>
      </c>
      <c r="M274" s="8"/>
      <c r="N274" s="9">
        <v>9</v>
      </c>
      <c r="O274" s="10"/>
      <c r="P274" s="11">
        <v>5</v>
      </c>
      <c r="Q274" s="12"/>
      <c r="R274" s="13">
        <v>16</v>
      </c>
      <c r="S274" s="14"/>
      <c r="T274" s="15">
        <v>5</v>
      </c>
    </row>
    <row r="276" spans="1:20" ht="12.75">
      <c r="A276">
        <v>795</v>
      </c>
      <c r="B276">
        <v>214</v>
      </c>
      <c r="C276">
        <v>819</v>
      </c>
      <c r="D276">
        <v>871</v>
      </c>
      <c r="E276">
        <v>13</v>
      </c>
      <c r="F276">
        <v>433</v>
      </c>
      <c r="G276">
        <v>2</v>
      </c>
      <c r="H276">
        <v>360</v>
      </c>
      <c r="I276" s="4"/>
      <c r="J276" s="5"/>
      <c r="K276" s="6">
        <v>60</v>
      </c>
      <c r="L276" s="7"/>
      <c r="M276" s="8"/>
      <c r="N276" s="9">
        <v>127</v>
      </c>
      <c r="O276" s="10"/>
      <c r="P276" s="11">
        <v>79</v>
      </c>
      <c r="Q276" s="12">
        <v>73</v>
      </c>
      <c r="R276" s="13">
        <v>120</v>
      </c>
      <c r="S276" s="14">
        <v>129</v>
      </c>
      <c r="T276" s="15"/>
    </row>
    <row r="283" spans="1:20" ht="12.75">
      <c r="A283">
        <v>1</v>
      </c>
      <c r="B283">
        <v>1</v>
      </c>
      <c r="C283">
        <v>241</v>
      </c>
      <c r="D283">
        <v>230</v>
      </c>
      <c r="E283">
        <v>267</v>
      </c>
      <c r="F283">
        <v>271</v>
      </c>
      <c r="G283">
        <v>34</v>
      </c>
      <c r="H283">
        <v>12</v>
      </c>
      <c r="I283" s="4">
        <v>5</v>
      </c>
      <c r="J283" s="5">
        <v>1</v>
      </c>
      <c r="K283" s="6">
        <v>9</v>
      </c>
      <c r="L283" s="7">
        <v>1</v>
      </c>
      <c r="M283" s="8">
        <v>1</v>
      </c>
      <c r="N283" s="9">
        <v>1</v>
      </c>
      <c r="O283" s="10">
        <v>407</v>
      </c>
      <c r="P283" s="11">
        <v>1</v>
      </c>
      <c r="Q283" s="12">
        <v>1</v>
      </c>
      <c r="R283" s="13">
        <v>1</v>
      </c>
      <c r="S283" s="14">
        <v>432</v>
      </c>
      <c r="T283" s="15">
        <v>1</v>
      </c>
    </row>
    <row r="301" spans="1:20" ht="12.75">
      <c r="A301">
        <v>39</v>
      </c>
      <c r="B301">
        <v>14</v>
      </c>
      <c r="C301">
        <v>588</v>
      </c>
      <c r="D301">
        <v>580</v>
      </c>
      <c r="E301">
        <v>990</v>
      </c>
      <c r="F301">
        <v>904</v>
      </c>
      <c r="G301">
        <v>12</v>
      </c>
      <c r="H301">
        <v>135</v>
      </c>
      <c r="J301" s="5">
        <v>5</v>
      </c>
      <c r="L301" s="7">
        <v>7</v>
      </c>
      <c r="M301" s="8">
        <v>4</v>
      </c>
      <c r="N301" s="9"/>
      <c r="O301" s="10"/>
      <c r="P301" s="11">
        <v>4</v>
      </c>
      <c r="Q301" s="12">
        <v>4</v>
      </c>
      <c r="R301" s="13"/>
      <c r="S301" s="14"/>
      <c r="T301" s="15">
        <v>4</v>
      </c>
    </row>
    <row r="302" spans="1:20" ht="12.75">
      <c r="A302">
        <v>104</v>
      </c>
      <c r="B302">
        <v>14</v>
      </c>
      <c r="C302">
        <v>318</v>
      </c>
      <c r="D302">
        <v>247</v>
      </c>
      <c r="E302">
        <v>322</v>
      </c>
      <c r="F302">
        <v>357</v>
      </c>
      <c r="G302">
        <v>15</v>
      </c>
      <c r="H302">
        <v>1</v>
      </c>
      <c r="J302" s="5">
        <v>9</v>
      </c>
      <c r="L302" s="7">
        <v>10</v>
      </c>
      <c r="M302" s="8">
        <v>2</v>
      </c>
      <c r="N302" s="9">
        <v>62</v>
      </c>
      <c r="O302" s="10">
        <v>18</v>
      </c>
      <c r="P302" s="11">
        <v>5</v>
      </c>
      <c r="Q302" s="12">
        <v>2</v>
      </c>
      <c r="R302" s="13">
        <v>64</v>
      </c>
      <c r="S302" s="14">
        <v>18</v>
      </c>
      <c r="T302" s="15">
        <v>5</v>
      </c>
    </row>
    <row r="305" spans="1:20" ht="12.75">
      <c r="A305">
        <v>149</v>
      </c>
      <c r="B305">
        <v>50</v>
      </c>
      <c r="C305">
        <v>488</v>
      </c>
      <c r="D305">
        <v>344</v>
      </c>
      <c r="E305">
        <v>282</v>
      </c>
      <c r="F305">
        <v>78</v>
      </c>
      <c r="G305">
        <v>221</v>
      </c>
      <c r="H305">
        <v>20</v>
      </c>
      <c r="I305" s="4">
        <v>22</v>
      </c>
      <c r="J305" s="5">
        <v>24</v>
      </c>
      <c r="K305" s="6"/>
      <c r="L305" s="7">
        <v>23</v>
      </c>
      <c r="M305" s="8">
        <v>25</v>
      </c>
      <c r="N305" s="9">
        <v>46</v>
      </c>
      <c r="O305" s="10">
        <v>38</v>
      </c>
      <c r="P305" s="11">
        <v>14</v>
      </c>
      <c r="Q305" s="12">
        <v>24</v>
      </c>
      <c r="R305" s="13">
        <v>44</v>
      </c>
      <c r="S305" s="14">
        <v>76</v>
      </c>
      <c r="T305" s="15">
        <v>8</v>
      </c>
    </row>
    <row r="309" spans="1:20" ht="12.75">
      <c r="A309">
        <v>26</v>
      </c>
      <c r="B309">
        <v>10</v>
      </c>
      <c r="C309">
        <v>1102</v>
      </c>
      <c r="D309">
        <v>1109</v>
      </c>
      <c r="E309">
        <v>224</v>
      </c>
      <c r="F309">
        <v>123</v>
      </c>
      <c r="G309">
        <v>230</v>
      </c>
      <c r="H309">
        <v>153</v>
      </c>
      <c r="I309" s="4">
        <v>4</v>
      </c>
      <c r="J309" s="5"/>
      <c r="K309" s="6">
        <v>5</v>
      </c>
      <c r="L309" s="7"/>
      <c r="M309" s="8">
        <v>5</v>
      </c>
      <c r="N309" s="9">
        <v>11</v>
      </c>
      <c r="O309" s="10">
        <v>7</v>
      </c>
      <c r="P309" s="11">
        <v>4</v>
      </c>
      <c r="Q309" s="12">
        <v>2</v>
      </c>
      <c r="R309" s="13">
        <v>17</v>
      </c>
      <c r="S309" s="14">
        <v>7</v>
      </c>
      <c r="T309" s="15">
        <v>4</v>
      </c>
    </row>
    <row r="314" spans="1:20" ht="12.75">
      <c r="A314">
        <v>67</v>
      </c>
      <c r="B314">
        <v>29</v>
      </c>
      <c r="C314">
        <v>643</v>
      </c>
      <c r="D314">
        <v>615</v>
      </c>
      <c r="E314">
        <v>233</v>
      </c>
      <c r="F314">
        <v>177</v>
      </c>
      <c r="G314">
        <v>52</v>
      </c>
      <c r="H314">
        <v>123</v>
      </c>
      <c r="I314" s="4">
        <v>15</v>
      </c>
      <c r="J314" s="5">
        <v>13</v>
      </c>
      <c r="K314" s="6">
        <v>15</v>
      </c>
      <c r="L314" s="7">
        <v>17</v>
      </c>
      <c r="M314" s="8">
        <v>26</v>
      </c>
      <c r="N314" s="9">
        <v>7</v>
      </c>
      <c r="O314" s="10">
        <v>24</v>
      </c>
      <c r="P314" s="11">
        <v>13</v>
      </c>
      <c r="Q314" s="12">
        <v>34</v>
      </c>
      <c r="R314" s="13">
        <v>16</v>
      </c>
      <c r="S314" s="14">
        <v>31</v>
      </c>
      <c r="T314" s="15">
        <v>7</v>
      </c>
    </row>
    <row r="321" spans="1:19" ht="12.75">
      <c r="A321">
        <v>1782</v>
      </c>
      <c r="B321">
        <v>148</v>
      </c>
      <c r="C321">
        <v>138</v>
      </c>
      <c r="D321">
        <v>69</v>
      </c>
      <c r="E321">
        <v>514</v>
      </c>
      <c r="F321">
        <v>470</v>
      </c>
      <c r="G321">
        <v>143</v>
      </c>
      <c r="H321">
        <v>213</v>
      </c>
      <c r="I321" s="4"/>
      <c r="J321" s="5">
        <v>93</v>
      </c>
      <c r="K321" s="6"/>
      <c r="L321" s="7">
        <v>91</v>
      </c>
      <c r="M321" s="8">
        <v>93</v>
      </c>
      <c r="N321" s="9"/>
      <c r="O321" s="10">
        <v>123</v>
      </c>
      <c r="P321" s="11"/>
      <c r="Q321" s="12">
        <v>83</v>
      </c>
      <c r="S321" s="14">
        <v>122</v>
      </c>
    </row>
    <row r="322" spans="1:19" ht="12.75">
      <c r="A322">
        <v>113</v>
      </c>
      <c r="B322">
        <v>28</v>
      </c>
      <c r="C322">
        <v>38</v>
      </c>
      <c r="D322">
        <v>18</v>
      </c>
      <c r="E322">
        <v>7</v>
      </c>
      <c r="F322">
        <v>474</v>
      </c>
      <c r="G322">
        <v>10</v>
      </c>
      <c r="H322">
        <v>338</v>
      </c>
      <c r="I322" s="4">
        <v>9</v>
      </c>
      <c r="J322" s="5">
        <v>18</v>
      </c>
      <c r="K322" s="6">
        <v>13</v>
      </c>
      <c r="L322" s="7">
        <v>17</v>
      </c>
      <c r="M322" s="8">
        <v>12</v>
      </c>
      <c r="N322" s="9">
        <v>16</v>
      </c>
      <c r="O322" s="10">
        <v>14</v>
      </c>
      <c r="P322" s="11">
        <v>26</v>
      </c>
      <c r="Q322" s="12">
        <v>9</v>
      </c>
      <c r="S322" s="14">
        <v>12</v>
      </c>
    </row>
    <row r="344" spans="1:20" ht="12.75">
      <c r="A344">
        <v>77</v>
      </c>
      <c r="B344">
        <v>7</v>
      </c>
      <c r="C344">
        <v>815</v>
      </c>
      <c r="D344">
        <v>853</v>
      </c>
      <c r="E344">
        <v>126</v>
      </c>
      <c r="F344">
        <v>467</v>
      </c>
      <c r="G344">
        <v>185</v>
      </c>
      <c r="H344">
        <v>400</v>
      </c>
      <c r="I344" s="4">
        <v>3</v>
      </c>
      <c r="J344" s="5"/>
      <c r="K344" s="6">
        <v>4</v>
      </c>
      <c r="L344" s="7"/>
      <c r="M344" s="8"/>
      <c r="N344" s="9">
        <v>4</v>
      </c>
      <c r="O344" s="10">
        <v>7</v>
      </c>
      <c r="P344" s="11">
        <v>22</v>
      </c>
      <c r="Q344" s="12">
        <v>4</v>
      </c>
      <c r="R344" s="13"/>
      <c r="S344" s="14">
        <v>7</v>
      </c>
      <c r="T344" s="15"/>
    </row>
    <row r="347" spans="1:20" ht="12.75">
      <c r="A347">
        <v>26</v>
      </c>
      <c r="B347">
        <v>5</v>
      </c>
      <c r="C347">
        <v>682</v>
      </c>
      <c r="D347">
        <v>668</v>
      </c>
      <c r="E347">
        <v>48</v>
      </c>
      <c r="F347">
        <v>233</v>
      </c>
      <c r="G347">
        <v>79</v>
      </c>
      <c r="H347">
        <v>50</v>
      </c>
      <c r="I347" s="4"/>
      <c r="J347" s="5">
        <v>4</v>
      </c>
      <c r="K347" s="6"/>
      <c r="L347" s="7">
        <v>4</v>
      </c>
      <c r="M347" s="8"/>
      <c r="N347" s="9">
        <v>3</v>
      </c>
      <c r="O347" s="10"/>
      <c r="P347" s="11">
        <v>2</v>
      </c>
      <c r="Q347" s="12"/>
      <c r="R347" s="13">
        <v>2</v>
      </c>
      <c r="S347" s="14"/>
      <c r="T347" s="15">
        <v>1</v>
      </c>
    </row>
    <row r="348" spans="1:20" ht="12.75">
      <c r="A348">
        <v>27</v>
      </c>
      <c r="B348">
        <v>13</v>
      </c>
      <c r="C348">
        <v>51</v>
      </c>
      <c r="D348">
        <v>30</v>
      </c>
      <c r="E348">
        <v>510</v>
      </c>
      <c r="F348">
        <v>240</v>
      </c>
      <c r="G348">
        <v>295</v>
      </c>
      <c r="H348">
        <v>169</v>
      </c>
      <c r="I348" s="4">
        <v>6</v>
      </c>
      <c r="J348" s="5">
        <v>460</v>
      </c>
      <c r="K348" s="6">
        <v>6</v>
      </c>
      <c r="L348" s="7">
        <v>457</v>
      </c>
      <c r="M348" s="8">
        <v>8</v>
      </c>
      <c r="N348" s="9"/>
      <c r="O348" s="10">
        <v>10</v>
      </c>
      <c r="P348" s="11"/>
      <c r="Q348" s="12">
        <v>12</v>
      </c>
      <c r="R348" s="13">
        <v>4</v>
      </c>
      <c r="S348" s="14">
        <v>8</v>
      </c>
      <c r="T348" s="15">
        <v>7</v>
      </c>
    </row>
    <row r="352" spans="1:20" ht="12.75">
      <c r="A352">
        <v>33</v>
      </c>
      <c r="B352">
        <v>9</v>
      </c>
      <c r="C352">
        <v>1197</v>
      </c>
      <c r="D352">
        <v>1253</v>
      </c>
      <c r="E352">
        <v>254</v>
      </c>
      <c r="F352">
        <v>210</v>
      </c>
      <c r="G352">
        <v>147</v>
      </c>
      <c r="H352">
        <v>163</v>
      </c>
      <c r="I352" s="4">
        <v>4</v>
      </c>
      <c r="J352" s="5"/>
      <c r="K352" s="6">
        <v>5</v>
      </c>
      <c r="L352" s="7"/>
      <c r="M352" s="8"/>
      <c r="N352" s="9">
        <v>5</v>
      </c>
      <c r="O352" s="10"/>
      <c r="P352" s="11">
        <v>3</v>
      </c>
      <c r="Q352" s="12"/>
      <c r="R352" s="13">
        <v>6</v>
      </c>
      <c r="S352" s="14"/>
      <c r="T352" s="15">
        <v>4</v>
      </c>
    </row>
    <row r="354" spans="1:20" ht="12.75">
      <c r="A354">
        <v>1</v>
      </c>
      <c r="B354">
        <v>1</v>
      </c>
      <c r="C354">
        <v>543</v>
      </c>
      <c r="D354">
        <v>599</v>
      </c>
      <c r="E354">
        <v>227</v>
      </c>
      <c r="F354">
        <v>162</v>
      </c>
      <c r="G354">
        <v>171</v>
      </c>
      <c r="H354">
        <v>162</v>
      </c>
      <c r="I354" s="4">
        <v>4</v>
      </c>
      <c r="J354" s="5">
        <v>50</v>
      </c>
      <c r="K354" s="6">
        <v>1</v>
      </c>
      <c r="L354" s="7">
        <v>52</v>
      </c>
      <c r="M354" s="8">
        <v>47</v>
      </c>
      <c r="N354" s="9">
        <v>1</v>
      </c>
      <c r="O354" s="10">
        <v>1</v>
      </c>
      <c r="P354" s="11">
        <v>1</v>
      </c>
      <c r="Q354" s="12">
        <v>43</v>
      </c>
      <c r="R354" s="13">
        <v>1</v>
      </c>
      <c r="S354" s="14">
        <v>1</v>
      </c>
      <c r="T354" s="15">
        <v>1</v>
      </c>
    </row>
    <row r="360" spans="1:20" ht="12.75">
      <c r="A360">
        <v>1</v>
      </c>
      <c r="B360">
        <v>1</v>
      </c>
      <c r="C360">
        <v>247</v>
      </c>
      <c r="D360">
        <v>299</v>
      </c>
      <c r="E360">
        <v>302</v>
      </c>
      <c r="F360">
        <v>245</v>
      </c>
      <c r="G360">
        <v>195</v>
      </c>
      <c r="H360">
        <v>136</v>
      </c>
      <c r="I360" s="4">
        <v>1</v>
      </c>
      <c r="J360" s="5">
        <v>1</v>
      </c>
      <c r="K360" s="6">
        <v>1</v>
      </c>
      <c r="L360" s="7">
        <v>1</v>
      </c>
      <c r="M360" s="8">
        <v>1</v>
      </c>
      <c r="N360" s="9">
        <v>3</v>
      </c>
      <c r="O360" s="10">
        <v>3</v>
      </c>
      <c r="P360" s="11">
        <v>1</v>
      </c>
      <c r="Q360" s="12">
        <v>1</v>
      </c>
      <c r="R360" s="13">
        <v>3</v>
      </c>
      <c r="S360" s="14">
        <v>3</v>
      </c>
      <c r="T360" s="15">
        <v>1</v>
      </c>
    </row>
    <row r="377" spans="1:20" ht="12.75">
      <c r="A377">
        <v>210</v>
      </c>
      <c r="B377">
        <v>59</v>
      </c>
      <c r="C377">
        <v>1046</v>
      </c>
      <c r="D377">
        <v>1046</v>
      </c>
      <c r="E377">
        <v>1046</v>
      </c>
      <c r="F377">
        <v>1046</v>
      </c>
      <c r="G377">
        <v>146</v>
      </c>
      <c r="H377">
        <v>138</v>
      </c>
      <c r="I377" s="4">
        <v>14</v>
      </c>
      <c r="J377" s="5"/>
      <c r="K377" s="6">
        <v>22</v>
      </c>
      <c r="L377" s="7"/>
      <c r="M377" s="8">
        <v>23</v>
      </c>
      <c r="N377" s="9"/>
      <c r="O377" s="10"/>
      <c r="P377" s="11">
        <v>21</v>
      </c>
      <c r="Q377" s="12">
        <v>26</v>
      </c>
      <c r="R377" s="13"/>
      <c r="S377" s="14"/>
      <c r="T377" s="15">
        <v>11</v>
      </c>
    </row>
    <row r="378" spans="1:20" ht="12.75">
      <c r="A378">
        <v>181</v>
      </c>
      <c r="B378">
        <v>30</v>
      </c>
      <c r="C378">
        <v>519</v>
      </c>
      <c r="D378">
        <v>752</v>
      </c>
      <c r="E378">
        <v>42</v>
      </c>
      <c r="F378">
        <v>101</v>
      </c>
      <c r="G378">
        <v>16</v>
      </c>
      <c r="H378">
        <v>149</v>
      </c>
      <c r="I378" s="4">
        <v>22</v>
      </c>
      <c r="J378" s="5">
        <v>32</v>
      </c>
      <c r="K378" s="6">
        <v>11</v>
      </c>
      <c r="L378" s="7"/>
      <c r="M378" s="8">
        <v>13</v>
      </c>
      <c r="N378" s="9">
        <v>32</v>
      </c>
      <c r="O378" s="10">
        <v>44</v>
      </c>
      <c r="P378" s="11">
        <v>9</v>
      </c>
      <c r="Q378" s="12">
        <v>26</v>
      </c>
      <c r="R378" s="13">
        <v>16</v>
      </c>
      <c r="S378" s="14">
        <v>46</v>
      </c>
      <c r="T378" s="15">
        <v>6</v>
      </c>
    </row>
    <row r="384" spans="1:20" ht="12.75">
      <c r="A384">
        <v>491</v>
      </c>
      <c r="B384">
        <v>137</v>
      </c>
      <c r="C384">
        <v>602</v>
      </c>
      <c r="D384">
        <v>678</v>
      </c>
      <c r="E384">
        <v>10</v>
      </c>
      <c r="F384">
        <v>611</v>
      </c>
      <c r="G384">
        <v>136</v>
      </c>
      <c r="H384">
        <v>466</v>
      </c>
      <c r="I384" s="4"/>
      <c r="J384" s="5">
        <v>76</v>
      </c>
      <c r="K384" s="6"/>
      <c r="L384" s="7">
        <v>79</v>
      </c>
      <c r="M384" s="8"/>
      <c r="N384" s="9">
        <v>62</v>
      </c>
      <c r="O384" s="10"/>
      <c r="P384" s="11">
        <v>37</v>
      </c>
      <c r="Q384" s="12">
        <v>47</v>
      </c>
      <c r="R384" s="13"/>
      <c r="S384" s="14">
        <v>83</v>
      </c>
      <c r="T384" s="15"/>
    </row>
    <row r="385" spans="1:20" ht="12.75">
      <c r="A385">
        <v>8</v>
      </c>
      <c r="B385">
        <v>6</v>
      </c>
      <c r="C385">
        <v>458</v>
      </c>
      <c r="D385">
        <v>458</v>
      </c>
      <c r="E385">
        <v>458</v>
      </c>
      <c r="F385">
        <v>458</v>
      </c>
      <c r="G385">
        <v>34</v>
      </c>
      <c r="H385">
        <v>81</v>
      </c>
      <c r="I385" s="4">
        <v>4</v>
      </c>
      <c r="J385" s="5"/>
      <c r="K385" s="6">
        <v>2</v>
      </c>
      <c r="L385" s="7"/>
      <c r="M385" s="8">
        <v>2</v>
      </c>
      <c r="N385" s="9"/>
      <c r="O385" s="10"/>
      <c r="P385" s="11">
        <v>5</v>
      </c>
      <c r="Q385" s="12">
        <v>3</v>
      </c>
      <c r="R385" s="13"/>
      <c r="S385" s="14"/>
      <c r="T385" s="15">
        <v>5</v>
      </c>
    </row>
    <row r="386" spans="1:20" ht="12.75">
      <c r="A386">
        <v>223</v>
      </c>
      <c r="B386">
        <v>34</v>
      </c>
      <c r="C386">
        <v>338</v>
      </c>
      <c r="D386">
        <v>299</v>
      </c>
      <c r="E386">
        <v>262</v>
      </c>
      <c r="F386">
        <v>240</v>
      </c>
      <c r="G386">
        <v>27</v>
      </c>
      <c r="H386">
        <v>9</v>
      </c>
      <c r="I386" s="4">
        <v>6</v>
      </c>
      <c r="J386" s="5"/>
      <c r="K386" s="6">
        <v>7</v>
      </c>
      <c r="L386" s="7"/>
      <c r="M386" s="8">
        <v>14</v>
      </c>
      <c r="N386" s="9"/>
      <c r="O386" s="10"/>
      <c r="P386" s="11">
        <v>5</v>
      </c>
      <c r="Q386" s="12">
        <v>12</v>
      </c>
      <c r="R386" s="13"/>
      <c r="S386" s="14"/>
      <c r="T386" s="15">
        <v>7</v>
      </c>
    </row>
    <row r="387" spans="1:20" ht="12.75">
      <c r="A387">
        <v>243</v>
      </c>
      <c r="B387">
        <v>61</v>
      </c>
      <c r="C387">
        <v>605</v>
      </c>
      <c r="D387">
        <v>513</v>
      </c>
      <c r="E387">
        <v>694</v>
      </c>
      <c r="F387">
        <v>640</v>
      </c>
      <c r="G387">
        <v>80</v>
      </c>
      <c r="H387">
        <v>133</v>
      </c>
      <c r="I387" s="4"/>
      <c r="J387" s="5">
        <v>31</v>
      </c>
      <c r="K387" s="6"/>
      <c r="L387" s="7">
        <v>32</v>
      </c>
      <c r="M387" s="8">
        <v>20</v>
      </c>
      <c r="N387" s="9"/>
      <c r="O387" s="10"/>
      <c r="P387" s="11">
        <v>28</v>
      </c>
      <c r="Q387" s="12">
        <v>22</v>
      </c>
      <c r="R387" s="13"/>
      <c r="S387" s="14"/>
      <c r="T387" s="15">
        <v>11</v>
      </c>
    </row>
    <row r="389" spans="1:20" ht="12.75">
      <c r="A389">
        <v>3</v>
      </c>
      <c r="B389">
        <v>2</v>
      </c>
      <c r="C389">
        <v>296</v>
      </c>
      <c r="D389">
        <v>230</v>
      </c>
      <c r="E389">
        <v>75</v>
      </c>
      <c r="F389">
        <v>12</v>
      </c>
      <c r="G389">
        <v>32</v>
      </c>
      <c r="H389">
        <v>1</v>
      </c>
      <c r="I389" s="4">
        <v>3</v>
      </c>
      <c r="J389" s="5">
        <v>2</v>
      </c>
      <c r="K389" s="6">
        <v>4</v>
      </c>
      <c r="L389" s="7">
        <v>1</v>
      </c>
      <c r="M389" s="8">
        <v>1</v>
      </c>
      <c r="N389" s="9">
        <v>4</v>
      </c>
      <c r="O389" s="10">
        <v>4</v>
      </c>
      <c r="P389" s="11">
        <v>1</v>
      </c>
      <c r="Q389" s="12">
        <v>2</v>
      </c>
      <c r="R389" s="13">
        <v>2</v>
      </c>
      <c r="S389" s="14">
        <v>4</v>
      </c>
      <c r="T389" s="15">
        <v>1</v>
      </c>
    </row>
    <row r="405" spans="1:20" ht="12.75">
      <c r="A405">
        <v>528</v>
      </c>
      <c r="B405">
        <v>107</v>
      </c>
      <c r="C405">
        <v>1154</v>
      </c>
      <c r="D405">
        <v>1204</v>
      </c>
      <c r="E405">
        <v>506</v>
      </c>
      <c r="F405">
        <v>745</v>
      </c>
      <c r="G405">
        <v>219</v>
      </c>
      <c r="H405">
        <v>444</v>
      </c>
      <c r="I405" s="4">
        <v>22</v>
      </c>
      <c r="J405" s="5"/>
      <c r="K405" s="6">
        <v>36</v>
      </c>
      <c r="L405" s="7"/>
      <c r="M405" s="8"/>
      <c r="N405" s="9">
        <v>26</v>
      </c>
      <c r="O405" s="10"/>
      <c r="P405" s="11">
        <v>8</v>
      </c>
      <c r="Q405" s="12">
        <v>48</v>
      </c>
      <c r="R405" s="13"/>
      <c r="S405" s="14">
        <v>70</v>
      </c>
      <c r="T405" s="15"/>
    </row>
    <row r="406" spans="1:20" ht="12.75">
      <c r="A406">
        <v>14</v>
      </c>
      <c r="B406">
        <v>7</v>
      </c>
      <c r="C406">
        <v>631</v>
      </c>
      <c r="D406">
        <v>634</v>
      </c>
      <c r="E406">
        <v>269</v>
      </c>
      <c r="F406">
        <v>520</v>
      </c>
      <c r="G406">
        <v>118</v>
      </c>
      <c r="H406">
        <v>177</v>
      </c>
      <c r="I406" s="4">
        <v>8</v>
      </c>
      <c r="J406" s="5">
        <v>4</v>
      </c>
      <c r="K406" s="6">
        <v>10</v>
      </c>
      <c r="L406" s="7">
        <v>4</v>
      </c>
      <c r="M406" s="8">
        <v>6</v>
      </c>
      <c r="N406" s="9">
        <v>4</v>
      </c>
      <c r="O406" s="10">
        <v>2</v>
      </c>
      <c r="P406" s="11">
        <v>5</v>
      </c>
      <c r="Q406" s="12">
        <v>4</v>
      </c>
      <c r="R406" s="13"/>
      <c r="S406" s="14">
        <v>4</v>
      </c>
      <c r="T406" s="15">
        <v>5</v>
      </c>
    </row>
    <row r="412" spans="1:20" ht="12.75">
      <c r="A412">
        <v>41</v>
      </c>
      <c r="B412">
        <v>16</v>
      </c>
      <c r="C412">
        <v>388</v>
      </c>
      <c r="D412">
        <v>270</v>
      </c>
      <c r="E412">
        <v>43</v>
      </c>
      <c r="F412">
        <v>125</v>
      </c>
      <c r="G412">
        <v>16</v>
      </c>
      <c r="H412">
        <v>13</v>
      </c>
      <c r="I412" s="4">
        <v>7</v>
      </c>
      <c r="J412" s="5">
        <v>25</v>
      </c>
      <c r="K412" s="6">
        <v>9</v>
      </c>
      <c r="L412" s="7">
        <v>21</v>
      </c>
      <c r="M412" s="8">
        <v>16</v>
      </c>
      <c r="N412" s="9">
        <v>11</v>
      </c>
      <c r="O412" s="10">
        <v>9</v>
      </c>
      <c r="P412" s="11">
        <v>8</v>
      </c>
      <c r="Q412" s="12">
        <v>17</v>
      </c>
      <c r="R412" s="13">
        <v>11</v>
      </c>
      <c r="S412" s="14">
        <v>15</v>
      </c>
      <c r="T412" s="15">
        <v>2</v>
      </c>
    </row>
    <row r="429" spans="1:20" ht="12.75">
      <c r="A429">
        <v>22</v>
      </c>
      <c r="B429">
        <v>3</v>
      </c>
      <c r="C429">
        <v>422</v>
      </c>
      <c r="D429">
        <v>355</v>
      </c>
      <c r="E429">
        <v>90</v>
      </c>
      <c r="F429">
        <v>66</v>
      </c>
      <c r="G429">
        <v>27</v>
      </c>
      <c r="H429">
        <v>9</v>
      </c>
      <c r="I429" s="4">
        <v>4</v>
      </c>
      <c r="J429" s="5">
        <v>66</v>
      </c>
      <c r="K429" s="6">
        <v>7</v>
      </c>
      <c r="L429" s="7">
        <v>1</v>
      </c>
      <c r="M429" s="8">
        <v>4</v>
      </c>
      <c r="N429" s="9">
        <v>3</v>
      </c>
      <c r="O429" s="10">
        <v>75</v>
      </c>
      <c r="P429" s="11">
        <v>2</v>
      </c>
      <c r="Q429" s="12">
        <v>6</v>
      </c>
      <c r="R429" s="13">
        <v>3</v>
      </c>
      <c r="S429" s="14">
        <v>78</v>
      </c>
      <c r="T429" s="15">
        <v>2</v>
      </c>
    </row>
    <row r="445" spans="1:20" ht="12.75">
      <c r="A445">
        <v>1</v>
      </c>
      <c r="B445">
        <v>1</v>
      </c>
      <c r="C445">
        <v>76</v>
      </c>
      <c r="D445">
        <v>121</v>
      </c>
      <c r="E445">
        <v>13</v>
      </c>
      <c r="F445">
        <v>123</v>
      </c>
      <c r="G445">
        <v>9</v>
      </c>
      <c r="H445">
        <v>134</v>
      </c>
      <c r="I445" s="4">
        <v>1</v>
      </c>
      <c r="J445" s="5">
        <v>1</v>
      </c>
      <c r="K445" s="6">
        <v>1</v>
      </c>
      <c r="L445" s="7">
        <v>1</v>
      </c>
      <c r="M445" s="8">
        <v>1</v>
      </c>
      <c r="N445" s="9">
        <v>4</v>
      </c>
      <c r="O445" s="10">
        <v>1</v>
      </c>
      <c r="P445" s="11">
        <v>1</v>
      </c>
      <c r="Q445" s="12">
        <v>1</v>
      </c>
      <c r="R445" s="13">
        <v>5</v>
      </c>
      <c r="S445" s="14">
        <v>1</v>
      </c>
      <c r="T445" s="15">
        <v>1</v>
      </c>
    </row>
    <row r="457" spans="1:20" ht="12.75">
      <c r="A457">
        <v>3</v>
      </c>
      <c r="B457">
        <v>3</v>
      </c>
      <c r="C457">
        <v>57</v>
      </c>
      <c r="D457">
        <v>25</v>
      </c>
      <c r="E457">
        <v>73</v>
      </c>
      <c r="F457">
        <v>12</v>
      </c>
      <c r="G457">
        <v>34</v>
      </c>
      <c r="H457">
        <v>10</v>
      </c>
      <c r="I457" s="4">
        <v>1</v>
      </c>
      <c r="J457" s="5">
        <v>1</v>
      </c>
      <c r="K457" s="6">
        <v>1</v>
      </c>
      <c r="L457" s="7">
        <v>1</v>
      </c>
      <c r="M457" s="8">
        <v>1</v>
      </c>
      <c r="N457" s="9">
        <v>4</v>
      </c>
      <c r="O457" s="10">
        <v>1</v>
      </c>
      <c r="P457" s="11">
        <v>1</v>
      </c>
      <c r="Q457" s="12">
        <v>1</v>
      </c>
      <c r="R457" s="13">
        <v>1</v>
      </c>
      <c r="S457" s="14">
        <v>1</v>
      </c>
      <c r="T457" s="15">
        <v>1</v>
      </c>
    </row>
    <row r="476" spans="1:20" ht="12.75">
      <c r="A476">
        <v>4</v>
      </c>
      <c r="B476">
        <v>1</v>
      </c>
      <c r="C476">
        <v>14</v>
      </c>
      <c r="D476">
        <v>32</v>
      </c>
      <c r="E476">
        <v>11</v>
      </c>
      <c r="F476">
        <v>98</v>
      </c>
      <c r="G476">
        <v>11</v>
      </c>
      <c r="H476">
        <v>130</v>
      </c>
      <c r="I476" s="4">
        <v>1</v>
      </c>
      <c r="J476" s="5">
        <v>5</v>
      </c>
      <c r="K476" s="6">
        <v>1</v>
      </c>
      <c r="L476" s="7">
        <v>42</v>
      </c>
      <c r="N476" s="9">
        <v>1</v>
      </c>
      <c r="O476" s="10">
        <v>8</v>
      </c>
      <c r="P476" s="11">
        <v>1</v>
      </c>
      <c r="R476" s="13">
        <v>1</v>
      </c>
      <c r="S476" s="14">
        <v>2</v>
      </c>
      <c r="T476" s="15">
        <v>1</v>
      </c>
    </row>
    <row r="483" spans="1:20" ht="12.75">
      <c r="A483">
        <v>4</v>
      </c>
      <c r="B483">
        <v>4</v>
      </c>
      <c r="C483">
        <v>563</v>
      </c>
      <c r="D483">
        <v>617</v>
      </c>
      <c r="E483">
        <v>119</v>
      </c>
      <c r="F483">
        <v>67</v>
      </c>
      <c r="G483">
        <v>35</v>
      </c>
      <c r="H483">
        <v>4</v>
      </c>
      <c r="I483" s="4">
        <v>2</v>
      </c>
      <c r="J483" s="5">
        <v>13</v>
      </c>
      <c r="K483" s="6">
        <v>2</v>
      </c>
      <c r="L483" s="7">
        <v>14</v>
      </c>
      <c r="M483" s="8">
        <v>1</v>
      </c>
      <c r="N483" s="9">
        <v>3</v>
      </c>
      <c r="O483" s="10">
        <v>15</v>
      </c>
      <c r="P483" s="11">
        <v>1</v>
      </c>
      <c r="Q483" s="12">
        <v>1</v>
      </c>
      <c r="R483" s="13">
        <v>3</v>
      </c>
      <c r="S483" s="14">
        <v>17</v>
      </c>
      <c r="T483" s="15">
        <v>1</v>
      </c>
    </row>
    <row r="492" spans="1:20" ht="12.75">
      <c r="A492">
        <v>7</v>
      </c>
      <c r="B492">
        <v>4</v>
      </c>
      <c r="C492">
        <v>202</v>
      </c>
      <c r="D492">
        <v>199</v>
      </c>
      <c r="E492">
        <v>664</v>
      </c>
      <c r="F492">
        <v>638</v>
      </c>
      <c r="G492">
        <v>521</v>
      </c>
      <c r="H492">
        <v>521</v>
      </c>
      <c r="I492" s="4"/>
      <c r="J492" s="5">
        <v>2</v>
      </c>
      <c r="K492" s="6"/>
      <c r="L492" s="7">
        <v>2</v>
      </c>
      <c r="M492" s="8">
        <v>3</v>
      </c>
      <c r="N492" s="9"/>
      <c r="O492" s="10">
        <v>2</v>
      </c>
      <c r="P492" s="11"/>
      <c r="Q492" s="12">
        <v>2</v>
      </c>
      <c r="R492" s="13"/>
      <c r="S492" s="14">
        <v>2</v>
      </c>
      <c r="T492" s="15"/>
    </row>
    <row r="494" spans="1:20" ht="12.75">
      <c r="A494">
        <v>53</v>
      </c>
      <c r="B494">
        <v>4</v>
      </c>
      <c r="C494">
        <v>241</v>
      </c>
      <c r="D494">
        <v>183</v>
      </c>
      <c r="E494">
        <v>112</v>
      </c>
      <c r="F494">
        <v>160</v>
      </c>
      <c r="G494">
        <v>45</v>
      </c>
      <c r="H494">
        <v>83</v>
      </c>
      <c r="I494" s="4">
        <v>1</v>
      </c>
      <c r="J494" s="5">
        <v>8</v>
      </c>
      <c r="K494" s="6">
        <v>2</v>
      </c>
      <c r="L494" s="7">
        <v>7</v>
      </c>
      <c r="M494" s="8">
        <v>7</v>
      </c>
      <c r="N494" s="9">
        <v>1</v>
      </c>
      <c r="O494" s="10">
        <v>4</v>
      </c>
      <c r="P494" s="11">
        <v>2</v>
      </c>
      <c r="Q494" s="12">
        <v>4</v>
      </c>
      <c r="R494" s="13">
        <v>2</v>
      </c>
      <c r="S494" s="14">
        <v>4</v>
      </c>
      <c r="T494" s="15">
        <v>2</v>
      </c>
    </row>
    <row r="498" spans="1:20" ht="12.75">
      <c r="A498">
        <v>98</v>
      </c>
      <c r="B498">
        <v>7</v>
      </c>
      <c r="C498">
        <v>303</v>
      </c>
      <c r="D498">
        <v>293</v>
      </c>
      <c r="E498">
        <v>322</v>
      </c>
      <c r="F498">
        <v>274</v>
      </c>
      <c r="G498">
        <v>94</v>
      </c>
      <c r="H498">
        <v>75</v>
      </c>
      <c r="I498" s="4"/>
      <c r="J498" s="5">
        <v>3</v>
      </c>
      <c r="K498" s="6"/>
      <c r="L498" s="7">
        <v>3</v>
      </c>
      <c r="M498" s="8">
        <v>3</v>
      </c>
      <c r="N498" s="9"/>
      <c r="O498" s="10">
        <v>5</v>
      </c>
      <c r="P498" s="11"/>
      <c r="Q498" s="12">
        <v>3</v>
      </c>
      <c r="R498" s="13"/>
      <c r="S498" s="14"/>
      <c r="T498" s="15">
        <v>4</v>
      </c>
    </row>
    <row r="499" spans="1:20" ht="12.75">
      <c r="A499">
        <v>62</v>
      </c>
      <c r="B499">
        <v>7</v>
      </c>
      <c r="C499">
        <v>685</v>
      </c>
      <c r="D499">
        <v>690</v>
      </c>
      <c r="E499">
        <v>613</v>
      </c>
      <c r="F499">
        <v>564</v>
      </c>
      <c r="G499">
        <v>968</v>
      </c>
      <c r="H499">
        <v>968</v>
      </c>
      <c r="I499" s="4"/>
      <c r="J499" s="5">
        <v>6</v>
      </c>
      <c r="K499" s="6"/>
      <c r="L499" s="7">
        <v>6</v>
      </c>
      <c r="M499" s="8">
        <v>6</v>
      </c>
      <c r="N499" s="9"/>
      <c r="O499" s="10">
        <v>7</v>
      </c>
      <c r="P499" s="11"/>
      <c r="Q499" s="12">
        <v>5</v>
      </c>
      <c r="R499" s="13"/>
      <c r="S499" s="14">
        <v>7</v>
      </c>
      <c r="T499" s="15"/>
    </row>
    <row r="500" spans="1:20" ht="12.75">
      <c r="A500">
        <v>65</v>
      </c>
      <c r="B500">
        <v>8</v>
      </c>
      <c r="C500">
        <v>618</v>
      </c>
      <c r="D500">
        <v>619</v>
      </c>
      <c r="E500">
        <v>152</v>
      </c>
      <c r="F500">
        <v>85</v>
      </c>
      <c r="G500">
        <v>32</v>
      </c>
      <c r="H500">
        <v>86</v>
      </c>
      <c r="I500" s="4">
        <v>79</v>
      </c>
      <c r="J500" s="5">
        <v>3</v>
      </c>
      <c r="K500" s="6">
        <v>113</v>
      </c>
      <c r="L500" s="7">
        <v>4</v>
      </c>
      <c r="M500" s="8">
        <v>191</v>
      </c>
      <c r="N500" s="9">
        <v>4</v>
      </c>
      <c r="O500" s="10"/>
      <c r="P500" s="11">
        <v>2</v>
      </c>
      <c r="Q500" s="12">
        <v>182</v>
      </c>
      <c r="R500" s="13">
        <v>5</v>
      </c>
      <c r="S500" s="14"/>
      <c r="T500" s="15">
        <v>2</v>
      </c>
    </row>
    <row r="502" spans="1:20" ht="12.75">
      <c r="A502">
        <v>73</v>
      </c>
      <c r="B502">
        <v>6</v>
      </c>
      <c r="C502">
        <v>283</v>
      </c>
      <c r="D502">
        <v>292</v>
      </c>
      <c r="E502">
        <v>89</v>
      </c>
      <c r="F502">
        <v>111</v>
      </c>
      <c r="G502">
        <v>81</v>
      </c>
      <c r="H502">
        <v>4</v>
      </c>
      <c r="I502" s="4">
        <v>3</v>
      </c>
      <c r="J502" s="5">
        <v>4</v>
      </c>
      <c r="K502" s="6"/>
      <c r="L502" s="7">
        <v>4</v>
      </c>
      <c r="M502" s="8">
        <v>3</v>
      </c>
      <c r="N502" s="9">
        <v>5</v>
      </c>
      <c r="O502" s="10">
        <v>4</v>
      </c>
      <c r="P502" s="11">
        <v>4</v>
      </c>
      <c r="Q502" s="12"/>
      <c r="R502" s="13">
        <v>4</v>
      </c>
      <c r="S502" s="14"/>
      <c r="T502" s="15">
        <v>4</v>
      </c>
    </row>
    <row r="504" spans="1:20" ht="12.75">
      <c r="A504">
        <v>94</v>
      </c>
      <c r="B504">
        <v>42</v>
      </c>
      <c r="C504">
        <v>1189</v>
      </c>
      <c r="D504">
        <v>1240</v>
      </c>
      <c r="E504">
        <v>783</v>
      </c>
      <c r="F504">
        <v>265</v>
      </c>
      <c r="G504">
        <v>410</v>
      </c>
      <c r="H504">
        <v>257</v>
      </c>
      <c r="I504" s="4">
        <v>9</v>
      </c>
      <c r="J504" s="5"/>
      <c r="K504" s="6">
        <v>11</v>
      </c>
      <c r="L504" s="7"/>
      <c r="M504" s="8">
        <v>21</v>
      </c>
      <c r="N504" s="9"/>
      <c r="O504" s="10">
        <v>26</v>
      </c>
      <c r="P504" s="11"/>
      <c r="Q504" s="12"/>
      <c r="R504" s="13">
        <v>23</v>
      </c>
      <c r="S504" s="14"/>
      <c r="T504" s="15">
        <v>14</v>
      </c>
    </row>
    <row r="505" spans="1:20" ht="12.75">
      <c r="A505">
        <v>47</v>
      </c>
      <c r="B505">
        <v>16</v>
      </c>
      <c r="C505">
        <v>820</v>
      </c>
      <c r="D505">
        <v>711</v>
      </c>
      <c r="E505">
        <v>263</v>
      </c>
      <c r="F505">
        <v>193</v>
      </c>
      <c r="G505">
        <v>195</v>
      </c>
      <c r="H505">
        <v>292</v>
      </c>
      <c r="I505" s="4">
        <v>3</v>
      </c>
      <c r="J505" s="5"/>
      <c r="K505" s="6">
        <v>4</v>
      </c>
      <c r="L505" s="7"/>
      <c r="M505" s="8"/>
      <c r="N505" s="9">
        <v>10</v>
      </c>
      <c r="O505" s="10">
        <v>10</v>
      </c>
      <c r="P505" s="11"/>
      <c r="Q505" s="12"/>
      <c r="R505" s="13">
        <v>4</v>
      </c>
      <c r="S505" s="14">
        <v>13</v>
      </c>
      <c r="T505" s="15"/>
    </row>
    <row r="506" spans="1:20" ht="12.75">
      <c r="A506">
        <v>4</v>
      </c>
      <c r="B506">
        <v>1</v>
      </c>
      <c r="C506">
        <v>816</v>
      </c>
      <c r="D506">
        <v>1014</v>
      </c>
      <c r="E506">
        <v>117</v>
      </c>
      <c r="F506">
        <v>283</v>
      </c>
      <c r="G506">
        <v>27</v>
      </c>
      <c r="H506">
        <v>149</v>
      </c>
      <c r="I506" s="4">
        <v>1</v>
      </c>
      <c r="J506" s="5">
        <v>21</v>
      </c>
      <c r="K506" s="6">
        <v>1</v>
      </c>
      <c r="L506" s="7"/>
      <c r="M506" s="8">
        <v>1</v>
      </c>
      <c r="N506" s="9">
        <v>1</v>
      </c>
      <c r="O506" s="10">
        <v>20</v>
      </c>
      <c r="P506" s="11">
        <v>1</v>
      </c>
      <c r="Q506" s="12">
        <v>1</v>
      </c>
      <c r="R506" s="13">
        <v>1</v>
      </c>
      <c r="S506" s="14">
        <v>26</v>
      </c>
      <c r="T506" s="15">
        <v>1</v>
      </c>
    </row>
    <row r="512" spans="1:20" ht="12.75">
      <c r="A512">
        <v>3</v>
      </c>
      <c r="B512">
        <v>1</v>
      </c>
      <c r="C512">
        <v>693</v>
      </c>
      <c r="D512">
        <v>661</v>
      </c>
      <c r="E512">
        <v>141</v>
      </c>
      <c r="F512">
        <v>125</v>
      </c>
      <c r="G512">
        <v>26</v>
      </c>
      <c r="H512">
        <v>17</v>
      </c>
      <c r="I512" s="4">
        <v>1</v>
      </c>
      <c r="J512" s="5">
        <v>24</v>
      </c>
      <c r="K512" s="6">
        <v>1</v>
      </c>
      <c r="L512" s="7">
        <v>64</v>
      </c>
      <c r="M512" s="8">
        <v>2</v>
      </c>
      <c r="N512" s="9">
        <v>1</v>
      </c>
      <c r="O512" s="10">
        <v>25</v>
      </c>
      <c r="P512" s="11">
        <v>1</v>
      </c>
      <c r="Q512" s="12">
        <v>1</v>
      </c>
      <c r="R512" s="13">
        <v>1</v>
      </c>
      <c r="S512" s="14">
        <v>32</v>
      </c>
      <c r="T512" s="15">
        <v>1</v>
      </c>
    </row>
    <row r="518" spans="1:20" ht="12.75">
      <c r="A518">
        <v>117</v>
      </c>
      <c r="B518">
        <v>40</v>
      </c>
      <c r="C518">
        <v>735</v>
      </c>
      <c r="D518">
        <v>825</v>
      </c>
      <c r="E518">
        <v>171</v>
      </c>
      <c r="F518">
        <v>194</v>
      </c>
      <c r="G518">
        <v>99</v>
      </c>
      <c r="H518">
        <v>171</v>
      </c>
      <c r="I518" s="4">
        <v>7</v>
      </c>
      <c r="J518" s="5"/>
      <c r="K518" s="6">
        <v>9</v>
      </c>
      <c r="L518" s="7"/>
      <c r="M518" s="8"/>
      <c r="N518" s="9">
        <v>15</v>
      </c>
      <c r="O518" s="10"/>
      <c r="P518" s="11">
        <v>15</v>
      </c>
      <c r="Q518" s="12"/>
      <c r="R518" s="13">
        <v>11</v>
      </c>
      <c r="S518" s="14"/>
      <c r="T518" s="15">
        <v>8</v>
      </c>
    </row>
    <row r="519" spans="1:20" ht="12.75">
      <c r="A519">
        <v>12</v>
      </c>
      <c r="B519">
        <v>7</v>
      </c>
      <c r="C519">
        <v>819</v>
      </c>
      <c r="D519">
        <v>745</v>
      </c>
      <c r="E519">
        <v>147</v>
      </c>
      <c r="F519">
        <v>201</v>
      </c>
      <c r="G519">
        <v>72</v>
      </c>
      <c r="H519">
        <v>269</v>
      </c>
      <c r="I519" s="4">
        <v>1</v>
      </c>
      <c r="J519" s="5"/>
      <c r="K519" s="6">
        <v>1</v>
      </c>
      <c r="L519" s="7"/>
      <c r="M519" s="8"/>
      <c r="N519" s="9">
        <v>3</v>
      </c>
      <c r="O519" s="10"/>
      <c r="P519" s="11">
        <v>5</v>
      </c>
      <c r="Q519" s="12"/>
      <c r="R519" s="13">
        <v>2</v>
      </c>
      <c r="S519" s="14">
        <v>5</v>
      </c>
      <c r="T519" s="15"/>
    </row>
    <row r="521" spans="1:20" ht="12.75">
      <c r="A521">
        <v>155</v>
      </c>
      <c r="B521">
        <v>39</v>
      </c>
      <c r="C521">
        <v>311</v>
      </c>
      <c r="D521">
        <v>237</v>
      </c>
      <c r="E521">
        <v>505</v>
      </c>
      <c r="F521">
        <v>366</v>
      </c>
      <c r="G521">
        <v>75</v>
      </c>
      <c r="H521">
        <v>138</v>
      </c>
      <c r="I521" s="4">
        <v>55</v>
      </c>
      <c r="J521" s="5">
        <v>21</v>
      </c>
      <c r="K521" s="6">
        <v>92</v>
      </c>
      <c r="L521" s="7">
        <v>24</v>
      </c>
      <c r="M521" s="8">
        <v>15</v>
      </c>
      <c r="N521" s="9"/>
      <c r="O521" s="10">
        <v>206</v>
      </c>
      <c r="P521" s="11">
        <v>13</v>
      </c>
      <c r="Q521" s="12">
        <v>19</v>
      </c>
      <c r="R521" s="13">
        <v>119</v>
      </c>
      <c r="S521" s="14">
        <v>77</v>
      </c>
      <c r="T521" s="15">
        <v>8</v>
      </c>
    </row>
    <row r="530" spans="1:20" ht="12.75">
      <c r="A530">
        <v>713</v>
      </c>
      <c r="B530">
        <v>148</v>
      </c>
      <c r="C530">
        <v>854</v>
      </c>
      <c r="D530">
        <v>709</v>
      </c>
      <c r="E530">
        <v>428</v>
      </c>
      <c r="F530">
        <v>372</v>
      </c>
      <c r="G530">
        <v>203</v>
      </c>
      <c r="H530">
        <v>290</v>
      </c>
      <c r="I530" s="4">
        <v>34</v>
      </c>
      <c r="J530" s="5"/>
      <c r="K530" s="6">
        <v>44</v>
      </c>
      <c r="L530" s="7"/>
      <c r="M530" s="8">
        <v>79</v>
      </c>
      <c r="N530" s="9"/>
      <c r="O530" s="10">
        <v>121</v>
      </c>
      <c r="P530" s="11"/>
      <c r="Q530" s="12"/>
      <c r="R530" s="13">
        <v>71</v>
      </c>
      <c r="S530" s="14">
        <v>107</v>
      </c>
      <c r="T530" s="15"/>
    </row>
    <row r="531" spans="1:20" ht="12.75">
      <c r="A531">
        <v>2</v>
      </c>
      <c r="B531">
        <v>2</v>
      </c>
      <c r="C531">
        <v>500</v>
      </c>
      <c r="D531">
        <v>528</v>
      </c>
      <c r="E531">
        <v>188</v>
      </c>
      <c r="F531">
        <v>217</v>
      </c>
      <c r="G531">
        <v>134</v>
      </c>
      <c r="H531">
        <v>172</v>
      </c>
      <c r="I531" s="4">
        <v>2</v>
      </c>
      <c r="J531" s="5">
        <v>5</v>
      </c>
      <c r="K531" s="6">
        <v>2</v>
      </c>
      <c r="L531" s="7">
        <v>5</v>
      </c>
      <c r="M531" s="8"/>
      <c r="N531" s="9">
        <v>1</v>
      </c>
      <c r="O531" s="10">
        <v>15</v>
      </c>
      <c r="P531" s="11">
        <v>1</v>
      </c>
      <c r="Q531" s="12">
        <v>12</v>
      </c>
      <c r="R531" s="13">
        <v>1</v>
      </c>
      <c r="S531" s="14">
        <v>2</v>
      </c>
      <c r="T531" s="15">
        <v>2</v>
      </c>
    </row>
    <row r="536" spans="1:20" ht="12.75">
      <c r="A536">
        <v>380</v>
      </c>
      <c r="B536">
        <v>74</v>
      </c>
      <c r="C536">
        <v>535</v>
      </c>
      <c r="D536">
        <v>546</v>
      </c>
      <c r="E536">
        <v>473</v>
      </c>
      <c r="F536">
        <v>326</v>
      </c>
      <c r="G536">
        <v>267</v>
      </c>
      <c r="H536">
        <v>206</v>
      </c>
      <c r="I536" s="4"/>
      <c r="J536" s="5">
        <v>44</v>
      </c>
      <c r="K536" s="6"/>
      <c r="L536" s="7">
        <v>45</v>
      </c>
      <c r="M536" s="8">
        <v>40</v>
      </c>
      <c r="N536" s="9"/>
      <c r="O536" s="10">
        <v>57</v>
      </c>
      <c r="P536" s="11"/>
      <c r="Q536" s="12"/>
      <c r="R536" s="13">
        <v>30</v>
      </c>
      <c r="S536" s="14">
        <v>59</v>
      </c>
      <c r="T536" s="15"/>
    </row>
    <row r="537" spans="1:20" ht="12.75">
      <c r="A537">
        <v>1</v>
      </c>
      <c r="B537">
        <v>1</v>
      </c>
      <c r="C537">
        <v>412</v>
      </c>
      <c r="D537">
        <v>371</v>
      </c>
      <c r="E537">
        <v>171</v>
      </c>
      <c r="F537">
        <v>206</v>
      </c>
      <c r="G537">
        <v>15</v>
      </c>
      <c r="H537">
        <v>131</v>
      </c>
      <c r="I537" s="4">
        <v>1</v>
      </c>
      <c r="J537" s="5">
        <v>1</v>
      </c>
      <c r="K537" s="6">
        <v>1</v>
      </c>
      <c r="L537" s="7">
        <v>1</v>
      </c>
      <c r="M537" s="8">
        <v>1</v>
      </c>
      <c r="N537" s="9">
        <v>1</v>
      </c>
      <c r="O537" s="10">
        <v>1</v>
      </c>
      <c r="P537" s="11">
        <v>1</v>
      </c>
      <c r="Q537" s="12">
        <v>1</v>
      </c>
      <c r="R537" s="13">
        <v>1</v>
      </c>
      <c r="S537" s="14">
        <v>1</v>
      </c>
      <c r="T537" s="15">
        <v>1</v>
      </c>
    </row>
    <row r="552" spans="1:20" ht="12.75">
      <c r="A552">
        <v>10</v>
      </c>
      <c r="B552">
        <v>4</v>
      </c>
      <c r="C552">
        <v>157</v>
      </c>
      <c r="D552">
        <v>149</v>
      </c>
      <c r="E552">
        <v>302</v>
      </c>
      <c r="F552">
        <v>476</v>
      </c>
      <c r="G552">
        <v>642</v>
      </c>
      <c r="H552">
        <v>642</v>
      </c>
      <c r="I552" s="4"/>
      <c r="J552" s="5">
        <v>2</v>
      </c>
      <c r="K552" s="6"/>
      <c r="L552" s="7">
        <v>2</v>
      </c>
      <c r="M552" s="8">
        <v>3</v>
      </c>
      <c r="N552" s="9"/>
      <c r="O552" s="10">
        <v>3</v>
      </c>
      <c r="P552" s="11"/>
      <c r="Q552" s="12">
        <v>3</v>
      </c>
      <c r="R552" s="13"/>
      <c r="S552" s="14">
        <v>3</v>
      </c>
      <c r="T552" s="15"/>
    </row>
    <row r="553" spans="1:20" ht="12.75">
      <c r="A553">
        <v>7</v>
      </c>
      <c r="B553">
        <v>3</v>
      </c>
      <c r="C553">
        <v>717</v>
      </c>
      <c r="D553">
        <v>723</v>
      </c>
      <c r="E553">
        <v>240</v>
      </c>
      <c r="F553">
        <v>445</v>
      </c>
      <c r="G553">
        <v>52</v>
      </c>
      <c r="H553">
        <v>269</v>
      </c>
      <c r="I553" s="4"/>
      <c r="J553" s="5">
        <v>1</v>
      </c>
      <c r="K553" s="6"/>
      <c r="L553" s="7">
        <v>2</v>
      </c>
      <c r="M553" s="8"/>
      <c r="N553" s="9">
        <v>3</v>
      </c>
      <c r="O553" s="10"/>
      <c r="P553" s="11">
        <v>3</v>
      </c>
      <c r="Q553" s="12">
        <v>3</v>
      </c>
      <c r="R553" s="13"/>
      <c r="S553" s="14">
        <v>3</v>
      </c>
      <c r="T553" s="15"/>
    </row>
    <row r="554" spans="1:20" ht="12.75">
      <c r="A554">
        <v>6</v>
      </c>
      <c r="B554">
        <v>5</v>
      </c>
      <c r="C554">
        <v>509</v>
      </c>
      <c r="D554">
        <v>481</v>
      </c>
      <c r="E554">
        <v>233</v>
      </c>
      <c r="F554">
        <v>186</v>
      </c>
      <c r="G554">
        <v>33</v>
      </c>
      <c r="H554">
        <v>20</v>
      </c>
      <c r="I554" s="4">
        <v>1</v>
      </c>
      <c r="J554" s="5"/>
      <c r="K554" s="6">
        <v>1</v>
      </c>
      <c r="L554" s="7">
        <v>8</v>
      </c>
      <c r="M554" s="8">
        <v>2</v>
      </c>
      <c r="N554" s="9">
        <v>8</v>
      </c>
      <c r="O554" s="10"/>
      <c r="P554" s="11">
        <v>1</v>
      </c>
      <c r="Q554" s="12">
        <v>2</v>
      </c>
      <c r="R554" s="13">
        <v>8</v>
      </c>
      <c r="S554" s="14"/>
      <c r="T554" s="15">
        <v>1</v>
      </c>
    </row>
    <row r="558" spans="1:20" ht="12.75">
      <c r="A558">
        <v>53</v>
      </c>
      <c r="B558">
        <v>32</v>
      </c>
      <c r="C558">
        <v>509</v>
      </c>
      <c r="D558">
        <v>498</v>
      </c>
      <c r="E558">
        <v>42</v>
      </c>
      <c r="F558">
        <v>71</v>
      </c>
      <c r="G558">
        <v>11</v>
      </c>
      <c r="H558">
        <v>10</v>
      </c>
      <c r="I558" s="4">
        <v>6</v>
      </c>
      <c r="J558" s="5">
        <v>12</v>
      </c>
      <c r="K558" s="6">
        <v>5</v>
      </c>
      <c r="L558" s="7">
        <v>15</v>
      </c>
      <c r="M558" s="8">
        <v>5</v>
      </c>
      <c r="N558" s="9">
        <v>18</v>
      </c>
      <c r="O558" s="10"/>
      <c r="P558" s="11">
        <v>16</v>
      </c>
      <c r="Q558" s="12">
        <v>5</v>
      </c>
      <c r="R558" s="13">
        <v>18</v>
      </c>
      <c r="S558" s="14"/>
      <c r="T558" s="15">
        <v>15</v>
      </c>
    </row>
    <row r="564" spans="1:20" ht="12.75">
      <c r="A564">
        <v>111</v>
      </c>
      <c r="B564">
        <v>10</v>
      </c>
      <c r="C564">
        <v>92</v>
      </c>
      <c r="D564">
        <v>86</v>
      </c>
      <c r="E564">
        <v>473</v>
      </c>
      <c r="F564">
        <v>452</v>
      </c>
      <c r="G564">
        <v>41</v>
      </c>
      <c r="H564">
        <v>124</v>
      </c>
      <c r="I564" s="4">
        <v>1</v>
      </c>
      <c r="J564" s="5">
        <v>22</v>
      </c>
      <c r="K564" s="6">
        <v>1</v>
      </c>
      <c r="L564" s="7">
        <v>22</v>
      </c>
      <c r="M564" s="8">
        <v>2</v>
      </c>
      <c r="N564" s="9"/>
      <c r="O564" s="10">
        <v>17</v>
      </c>
      <c r="P564" s="11">
        <v>5</v>
      </c>
      <c r="Q564" s="12">
        <v>5</v>
      </c>
      <c r="R564" s="13"/>
      <c r="S564" s="14">
        <v>8</v>
      </c>
      <c r="T564" s="15"/>
    </row>
    <row r="566" spans="1:20" ht="12.75">
      <c r="A566">
        <v>50</v>
      </c>
      <c r="B566">
        <v>23</v>
      </c>
      <c r="C566">
        <v>200</v>
      </c>
      <c r="D566">
        <v>209</v>
      </c>
      <c r="E566">
        <v>1064</v>
      </c>
      <c r="F566">
        <v>1062</v>
      </c>
      <c r="G566">
        <v>277</v>
      </c>
      <c r="H566">
        <v>221</v>
      </c>
      <c r="I566" s="4"/>
      <c r="J566" s="5">
        <v>9</v>
      </c>
      <c r="K566" s="6"/>
      <c r="L566" s="7">
        <v>9</v>
      </c>
      <c r="M566" s="8">
        <v>12</v>
      </c>
      <c r="N566" s="9"/>
      <c r="O566" s="10">
        <v>15</v>
      </c>
      <c r="P566" s="11"/>
      <c r="Q566" s="12">
        <v>4</v>
      </c>
      <c r="R566" s="13"/>
      <c r="S566" s="14">
        <v>14</v>
      </c>
      <c r="T566" s="15"/>
    </row>
    <row r="567" spans="1:20" ht="12.75">
      <c r="A567">
        <v>10</v>
      </c>
      <c r="B567">
        <v>9</v>
      </c>
      <c r="C567">
        <v>727</v>
      </c>
      <c r="D567">
        <v>659</v>
      </c>
      <c r="E567">
        <v>483</v>
      </c>
      <c r="F567">
        <v>686</v>
      </c>
      <c r="G567">
        <v>22</v>
      </c>
      <c r="H567">
        <v>154</v>
      </c>
      <c r="I567" s="4"/>
      <c r="J567" s="5">
        <v>4</v>
      </c>
      <c r="K567" s="6"/>
      <c r="L567" s="7">
        <v>7</v>
      </c>
      <c r="M567" s="8">
        <v>22</v>
      </c>
      <c r="N567" s="9">
        <v>4</v>
      </c>
      <c r="O567" s="10">
        <v>27</v>
      </c>
      <c r="P567" s="11">
        <v>2</v>
      </c>
      <c r="Q567" s="12">
        <v>5</v>
      </c>
      <c r="R567" s="13"/>
      <c r="S567" s="14">
        <v>27</v>
      </c>
      <c r="T567" s="15">
        <v>2</v>
      </c>
    </row>
    <row r="570" spans="1:20" ht="12.75">
      <c r="A570">
        <v>2</v>
      </c>
      <c r="B570">
        <v>2</v>
      </c>
      <c r="C570">
        <v>331</v>
      </c>
      <c r="D570">
        <v>322</v>
      </c>
      <c r="E570">
        <v>56</v>
      </c>
      <c r="F570">
        <v>597</v>
      </c>
      <c r="G570">
        <v>20</v>
      </c>
      <c r="H570">
        <v>383</v>
      </c>
      <c r="I570" s="4">
        <v>4</v>
      </c>
      <c r="J570" s="5">
        <v>2</v>
      </c>
      <c r="K570" s="6">
        <v>9</v>
      </c>
      <c r="L570" s="7">
        <v>2</v>
      </c>
      <c r="M570" s="8">
        <v>2</v>
      </c>
      <c r="N570" s="9">
        <v>1</v>
      </c>
      <c r="O570" s="10">
        <v>1</v>
      </c>
      <c r="P570" s="11">
        <v>2</v>
      </c>
      <c r="Q570" s="12">
        <v>2</v>
      </c>
      <c r="R570" s="13">
        <v>7</v>
      </c>
      <c r="S570" s="14">
        <v>2</v>
      </c>
      <c r="T570" s="15"/>
    </row>
    <row r="575" spans="1:20" ht="12.75">
      <c r="A575">
        <v>7</v>
      </c>
      <c r="B575">
        <v>2</v>
      </c>
      <c r="C575">
        <v>753</v>
      </c>
      <c r="D575">
        <v>780</v>
      </c>
      <c r="E575">
        <v>842</v>
      </c>
      <c r="F575">
        <v>819</v>
      </c>
      <c r="G575">
        <v>21</v>
      </c>
      <c r="H575">
        <v>136</v>
      </c>
      <c r="I575" s="4"/>
      <c r="J575" s="5">
        <v>1</v>
      </c>
      <c r="K575" s="6"/>
      <c r="L575" s="7">
        <v>2</v>
      </c>
      <c r="M575" s="8">
        <v>2</v>
      </c>
      <c r="N575" s="9"/>
      <c r="O575" s="10"/>
      <c r="P575" s="11">
        <v>2</v>
      </c>
      <c r="Q575" s="12">
        <v>2</v>
      </c>
      <c r="R575" s="13"/>
      <c r="S575" s="14"/>
      <c r="T575" s="15">
        <v>2</v>
      </c>
    </row>
    <row r="577" spans="1:20" ht="12.75">
      <c r="A577">
        <v>1528</v>
      </c>
      <c r="B577">
        <v>231</v>
      </c>
      <c r="C577">
        <v>842</v>
      </c>
      <c r="D577">
        <v>815</v>
      </c>
      <c r="E577">
        <v>269</v>
      </c>
      <c r="F577">
        <v>31</v>
      </c>
      <c r="G577">
        <v>83</v>
      </c>
      <c r="H577">
        <v>185</v>
      </c>
      <c r="I577" s="4">
        <v>57</v>
      </c>
      <c r="J577" s="5"/>
      <c r="K577" s="6">
        <v>77</v>
      </c>
      <c r="L577" s="7"/>
      <c r="M577" s="8"/>
      <c r="N577" s="9">
        <v>95</v>
      </c>
      <c r="O577" s="10"/>
      <c r="P577" s="11">
        <v>32</v>
      </c>
      <c r="Q577" s="12"/>
      <c r="R577" s="13">
        <v>78</v>
      </c>
      <c r="S577" s="14">
        <v>178</v>
      </c>
      <c r="T577" s="15"/>
    </row>
    <row r="578" spans="1:20" ht="12.75">
      <c r="A578">
        <v>3</v>
      </c>
      <c r="B578">
        <v>190</v>
      </c>
      <c r="C578">
        <v>427</v>
      </c>
      <c r="D578">
        <v>355</v>
      </c>
      <c r="E578">
        <v>1106</v>
      </c>
      <c r="F578">
        <v>1128</v>
      </c>
      <c r="G578">
        <v>266</v>
      </c>
      <c r="H578">
        <v>350</v>
      </c>
      <c r="I578" s="4"/>
      <c r="J578" s="5">
        <v>119</v>
      </c>
      <c r="K578" s="6"/>
      <c r="L578" s="7">
        <v>116</v>
      </c>
      <c r="M578" s="8">
        <v>86</v>
      </c>
      <c r="N578" s="9"/>
      <c r="O578" s="10">
        <v>107</v>
      </c>
      <c r="P578" s="11"/>
      <c r="Q578" s="12">
        <v>94</v>
      </c>
      <c r="R578" s="13"/>
      <c r="S578" s="14">
        <v>137</v>
      </c>
      <c r="T578" s="15"/>
    </row>
    <row r="580" spans="1:20" ht="12.75">
      <c r="A580">
        <v>60</v>
      </c>
      <c r="B580">
        <v>24</v>
      </c>
      <c r="C580">
        <v>41</v>
      </c>
      <c r="D580">
        <v>44</v>
      </c>
      <c r="E580">
        <v>324</v>
      </c>
      <c r="F580">
        <v>147</v>
      </c>
      <c r="G580">
        <v>21</v>
      </c>
      <c r="H580">
        <v>11</v>
      </c>
      <c r="I580" s="4"/>
      <c r="J580" s="5">
        <v>17</v>
      </c>
      <c r="K580" s="6"/>
      <c r="L580" s="7">
        <v>12</v>
      </c>
      <c r="M580" s="8">
        <v>14</v>
      </c>
      <c r="N580" s="9">
        <v>10</v>
      </c>
      <c r="O580" s="10">
        <v>69</v>
      </c>
      <c r="P580" s="11">
        <v>7</v>
      </c>
      <c r="Q580" s="12">
        <v>11</v>
      </c>
      <c r="R580" s="13">
        <v>11</v>
      </c>
      <c r="S580" s="14">
        <v>67</v>
      </c>
      <c r="T580" s="15">
        <v>8</v>
      </c>
    </row>
    <row r="589" spans="1:20" ht="12.75">
      <c r="A589">
        <v>1</v>
      </c>
      <c r="B589">
        <v>1</v>
      </c>
      <c r="C589">
        <v>603</v>
      </c>
      <c r="D589">
        <v>658</v>
      </c>
      <c r="E589">
        <v>72</v>
      </c>
      <c r="F589">
        <v>167</v>
      </c>
      <c r="G589">
        <v>26</v>
      </c>
      <c r="H589">
        <v>145</v>
      </c>
      <c r="I589" s="4"/>
      <c r="J589" s="5">
        <v>1</v>
      </c>
      <c r="K589" s="6">
        <v>1</v>
      </c>
      <c r="L589" s="7">
        <v>1</v>
      </c>
      <c r="M589" s="8"/>
      <c r="N589" s="9">
        <v>1</v>
      </c>
      <c r="O589" s="10"/>
      <c r="P589" s="11">
        <v>1</v>
      </c>
      <c r="Q589" s="12">
        <v>26</v>
      </c>
      <c r="R589" s="13">
        <v>1</v>
      </c>
      <c r="S589" s="14">
        <v>1</v>
      </c>
      <c r="T589" s="15">
        <v>1</v>
      </c>
    </row>
    <row r="594" spans="1:20" ht="12.75">
      <c r="A594">
        <v>20</v>
      </c>
      <c r="B594">
        <v>11</v>
      </c>
      <c r="C594">
        <v>437</v>
      </c>
      <c r="D594">
        <v>316</v>
      </c>
      <c r="E594">
        <v>206</v>
      </c>
      <c r="F594">
        <v>364</v>
      </c>
      <c r="G594">
        <v>18</v>
      </c>
      <c r="H594">
        <v>123</v>
      </c>
      <c r="I594" s="4"/>
      <c r="J594" s="5">
        <v>6</v>
      </c>
      <c r="K594" s="6"/>
      <c r="L594" s="7">
        <v>5</v>
      </c>
      <c r="M594" s="8">
        <v>4</v>
      </c>
      <c r="N594" s="9">
        <v>98</v>
      </c>
      <c r="O594" s="10">
        <v>246</v>
      </c>
      <c r="P594" s="11">
        <v>8</v>
      </c>
      <c r="Q594" s="12">
        <v>2</v>
      </c>
      <c r="R594" s="13">
        <v>106</v>
      </c>
      <c r="S594" s="14">
        <v>277</v>
      </c>
      <c r="T594" s="15">
        <v>7</v>
      </c>
    </row>
    <row r="599" spans="1:20" ht="12.75">
      <c r="A599">
        <v>4</v>
      </c>
      <c r="B599">
        <v>4</v>
      </c>
      <c r="C599">
        <v>662</v>
      </c>
      <c r="D599">
        <v>683</v>
      </c>
      <c r="E599">
        <v>184</v>
      </c>
      <c r="F599">
        <v>254</v>
      </c>
      <c r="G599">
        <v>152</v>
      </c>
      <c r="H599">
        <v>154</v>
      </c>
      <c r="I599" s="4"/>
      <c r="J599" s="5">
        <v>2</v>
      </c>
      <c r="K599" s="6">
        <v>3</v>
      </c>
      <c r="L599" s="7"/>
      <c r="M599" s="8"/>
      <c r="N599" s="9">
        <v>4</v>
      </c>
      <c r="O599" s="10"/>
      <c r="P599" s="11">
        <v>1</v>
      </c>
      <c r="Q599" s="12"/>
      <c r="R599" s="13">
        <v>4</v>
      </c>
      <c r="S599" s="14"/>
      <c r="T599" s="15">
        <v>1</v>
      </c>
    </row>
    <row r="600" spans="1:20" ht="12.75">
      <c r="A600">
        <v>1</v>
      </c>
      <c r="B600">
        <v>1</v>
      </c>
      <c r="C600">
        <v>63</v>
      </c>
      <c r="D600">
        <v>48</v>
      </c>
      <c r="E600">
        <v>176</v>
      </c>
      <c r="F600">
        <v>543</v>
      </c>
      <c r="G600">
        <v>350</v>
      </c>
      <c r="H600">
        <v>221</v>
      </c>
      <c r="I600" s="4">
        <v>5</v>
      </c>
      <c r="J600" s="5">
        <v>1</v>
      </c>
      <c r="K600" s="6"/>
      <c r="L600" s="7">
        <v>1</v>
      </c>
      <c r="M600" s="8">
        <v>1</v>
      </c>
      <c r="N600" s="9">
        <v>8</v>
      </c>
      <c r="O600" s="10">
        <v>1</v>
      </c>
      <c r="P600" s="11"/>
      <c r="Q600" s="12">
        <v>4</v>
      </c>
      <c r="R600" s="13">
        <v>1</v>
      </c>
      <c r="S600" s="14">
        <v>1</v>
      </c>
      <c r="T600" s="15">
        <v>10</v>
      </c>
    </row>
    <row r="611" spans="1:20" ht="12.75">
      <c r="A611">
        <v>3</v>
      </c>
      <c r="B611">
        <v>1</v>
      </c>
      <c r="C611">
        <v>718</v>
      </c>
      <c r="D611">
        <v>718</v>
      </c>
      <c r="E611">
        <v>718</v>
      </c>
      <c r="F611">
        <v>718</v>
      </c>
      <c r="G611">
        <v>246</v>
      </c>
      <c r="H611">
        <v>273</v>
      </c>
      <c r="I611" s="4">
        <v>1</v>
      </c>
      <c r="J611" s="5"/>
      <c r="K611" s="6">
        <v>1</v>
      </c>
      <c r="L611" s="7"/>
      <c r="M611" s="8">
        <v>1</v>
      </c>
      <c r="N611" s="9"/>
      <c r="O611" s="10">
        <v>1</v>
      </c>
      <c r="P611" s="11"/>
      <c r="Q611" s="12">
        <v>1</v>
      </c>
      <c r="R611" s="13"/>
      <c r="S611" s="14">
        <v>1</v>
      </c>
      <c r="T611" s="15"/>
    </row>
    <row r="614" spans="1:20" ht="12.75">
      <c r="A614">
        <v>124</v>
      </c>
      <c r="B614">
        <v>35</v>
      </c>
      <c r="C614">
        <v>698</v>
      </c>
      <c r="D614">
        <v>689</v>
      </c>
      <c r="E614">
        <v>385</v>
      </c>
      <c r="F614">
        <v>200</v>
      </c>
      <c r="G614">
        <v>352</v>
      </c>
      <c r="H614">
        <v>340</v>
      </c>
      <c r="I614" s="4"/>
      <c r="J614" s="5">
        <v>20</v>
      </c>
      <c r="K614" s="6"/>
      <c r="L614" s="7">
        <v>20</v>
      </c>
      <c r="M614" s="8"/>
      <c r="N614" s="9">
        <v>6</v>
      </c>
      <c r="O614" s="10">
        <v>25</v>
      </c>
      <c r="P614" s="11"/>
      <c r="Q614" s="12"/>
      <c r="R614" s="13">
        <v>8</v>
      </c>
      <c r="S614" s="14">
        <v>23</v>
      </c>
      <c r="T614" s="15"/>
    </row>
    <row r="615" spans="1:20" ht="12.75">
      <c r="A615">
        <v>233</v>
      </c>
      <c r="B615">
        <v>46</v>
      </c>
      <c r="C615">
        <v>670</v>
      </c>
      <c r="D615">
        <v>689</v>
      </c>
      <c r="E615">
        <v>478</v>
      </c>
      <c r="F615">
        <v>555</v>
      </c>
      <c r="G615">
        <v>970</v>
      </c>
      <c r="H615">
        <v>970</v>
      </c>
      <c r="I615" s="4"/>
      <c r="J615" s="5">
        <v>22</v>
      </c>
      <c r="K615" s="6"/>
      <c r="L615" s="7">
        <v>21</v>
      </c>
      <c r="M615" s="8">
        <v>27</v>
      </c>
      <c r="N615" s="9"/>
      <c r="O615" s="10">
        <v>31</v>
      </c>
      <c r="P615" s="11"/>
      <c r="Q615" s="12">
        <v>22</v>
      </c>
      <c r="R615" s="13"/>
      <c r="S615" s="14">
        <v>31</v>
      </c>
      <c r="T615" s="15"/>
    </row>
    <row r="616" spans="1:20" ht="12.75">
      <c r="A616">
        <v>9</v>
      </c>
      <c r="B616">
        <v>5</v>
      </c>
      <c r="C616">
        <v>431</v>
      </c>
      <c r="D616">
        <v>589</v>
      </c>
      <c r="E616">
        <v>2</v>
      </c>
      <c r="F616">
        <v>213</v>
      </c>
      <c r="G616">
        <v>2</v>
      </c>
      <c r="H616">
        <v>182</v>
      </c>
      <c r="I616" s="4">
        <v>20</v>
      </c>
      <c r="J616" s="5">
        <v>2</v>
      </c>
      <c r="K616" s="6">
        <v>30</v>
      </c>
      <c r="L616" s="7">
        <v>2</v>
      </c>
      <c r="M616" s="8">
        <v>41</v>
      </c>
      <c r="N616" s="9">
        <v>1</v>
      </c>
      <c r="O616" s="10">
        <v>5</v>
      </c>
      <c r="P616" s="11">
        <v>29</v>
      </c>
      <c r="Q616" s="12">
        <v>118</v>
      </c>
      <c r="R616" s="13">
        <v>4</v>
      </c>
      <c r="S616" s="14">
        <v>5</v>
      </c>
      <c r="T616" s="15">
        <v>4</v>
      </c>
    </row>
    <row r="621" spans="1:20" ht="12.75">
      <c r="A621">
        <v>1046</v>
      </c>
      <c r="B621">
        <v>244</v>
      </c>
      <c r="C621">
        <v>926</v>
      </c>
      <c r="D621">
        <v>920</v>
      </c>
      <c r="E621">
        <v>136</v>
      </c>
      <c r="F621">
        <v>251</v>
      </c>
      <c r="G621">
        <v>142</v>
      </c>
      <c r="H621">
        <v>212</v>
      </c>
      <c r="I621" s="4">
        <v>56</v>
      </c>
      <c r="J621" s="5"/>
      <c r="K621" s="6">
        <v>85</v>
      </c>
      <c r="L621" s="7"/>
      <c r="M621" s="8"/>
      <c r="N621" s="9">
        <v>111</v>
      </c>
      <c r="O621" s="10"/>
      <c r="P621" s="11">
        <v>56</v>
      </c>
      <c r="Q621" s="12"/>
      <c r="R621" s="13">
        <v>91</v>
      </c>
      <c r="S621" s="14">
        <v>201</v>
      </c>
      <c r="T621" s="15"/>
    </row>
    <row r="622" spans="1:20" ht="12.75">
      <c r="A622">
        <v>4</v>
      </c>
      <c r="B622">
        <v>3</v>
      </c>
      <c r="C622">
        <v>190</v>
      </c>
      <c r="D622">
        <v>210</v>
      </c>
      <c r="E622">
        <v>284</v>
      </c>
      <c r="F622">
        <v>605</v>
      </c>
      <c r="G622">
        <v>72</v>
      </c>
      <c r="H622">
        <v>250</v>
      </c>
      <c r="I622" s="4">
        <v>7</v>
      </c>
      <c r="J622" s="5">
        <v>1</v>
      </c>
      <c r="K622" s="6">
        <v>10</v>
      </c>
      <c r="L622" s="7">
        <v>1</v>
      </c>
      <c r="M622" s="8">
        <v>8</v>
      </c>
      <c r="N622" s="9">
        <v>2</v>
      </c>
      <c r="O622" s="10">
        <v>1</v>
      </c>
      <c r="P622" s="11">
        <v>17</v>
      </c>
      <c r="Q622" s="12">
        <v>1</v>
      </c>
      <c r="R622" s="13"/>
      <c r="S622" s="14">
        <v>1</v>
      </c>
      <c r="T622" s="15">
        <v>2</v>
      </c>
    </row>
    <row r="631" spans="1:20" ht="12.75">
      <c r="A631">
        <v>4</v>
      </c>
      <c r="B631">
        <v>1</v>
      </c>
      <c r="C631">
        <v>334</v>
      </c>
      <c r="D631">
        <v>306</v>
      </c>
      <c r="E631">
        <v>41</v>
      </c>
      <c r="F631">
        <v>165</v>
      </c>
      <c r="G631">
        <v>22</v>
      </c>
      <c r="H631">
        <v>9</v>
      </c>
      <c r="I631" s="4">
        <v>4</v>
      </c>
      <c r="J631" s="5">
        <v>1</v>
      </c>
      <c r="K631" s="6"/>
      <c r="L631" s="7">
        <v>1</v>
      </c>
      <c r="M631" s="8">
        <v>1</v>
      </c>
      <c r="N631" s="9">
        <v>3</v>
      </c>
      <c r="O631" s="10">
        <v>1</v>
      </c>
      <c r="P631" s="11">
        <v>1</v>
      </c>
      <c r="Q631" s="12">
        <v>1</v>
      </c>
      <c r="R631" s="13">
        <v>3</v>
      </c>
      <c r="S631" s="14">
        <v>1</v>
      </c>
      <c r="T631" s="15">
        <v>1</v>
      </c>
    </row>
    <row r="638" spans="1:20" ht="12.75">
      <c r="A638">
        <v>115</v>
      </c>
      <c r="B638">
        <v>12</v>
      </c>
      <c r="C638">
        <v>26</v>
      </c>
      <c r="D638">
        <v>25</v>
      </c>
      <c r="E638">
        <v>163</v>
      </c>
      <c r="F638">
        <v>137</v>
      </c>
      <c r="G638">
        <v>43</v>
      </c>
      <c r="H638">
        <v>40</v>
      </c>
      <c r="I638" s="4"/>
      <c r="J638" s="5">
        <v>9</v>
      </c>
      <c r="K638" s="6"/>
      <c r="L638" s="7">
        <v>9</v>
      </c>
      <c r="M638" s="8">
        <v>8</v>
      </c>
      <c r="N638" s="9"/>
      <c r="O638" s="10">
        <v>6</v>
      </c>
      <c r="P638" s="11"/>
      <c r="Q638" s="12">
        <v>8</v>
      </c>
      <c r="R638" s="13"/>
      <c r="S638" s="14">
        <v>7</v>
      </c>
      <c r="T638" s="15"/>
    </row>
    <row r="640" spans="1:20" ht="12.75">
      <c r="A640">
        <v>336</v>
      </c>
      <c r="B640">
        <v>69</v>
      </c>
      <c r="C640">
        <v>337</v>
      </c>
      <c r="D640">
        <v>267</v>
      </c>
      <c r="E640">
        <v>130</v>
      </c>
      <c r="F640">
        <v>255</v>
      </c>
      <c r="G640">
        <v>15</v>
      </c>
      <c r="H640">
        <v>137</v>
      </c>
      <c r="I640" s="4">
        <v>36</v>
      </c>
      <c r="J640" s="5">
        <v>50</v>
      </c>
      <c r="K640" s="6">
        <v>47</v>
      </c>
      <c r="L640" s="7">
        <v>49</v>
      </c>
      <c r="M640" s="8">
        <v>39</v>
      </c>
      <c r="N640" s="9">
        <v>35</v>
      </c>
      <c r="O640" s="10">
        <v>73</v>
      </c>
      <c r="P640" s="11">
        <v>20</v>
      </c>
      <c r="Q640" s="12">
        <v>49</v>
      </c>
      <c r="R640" s="13">
        <v>25</v>
      </c>
      <c r="S640" s="14">
        <v>99</v>
      </c>
      <c r="T640" s="15">
        <v>4</v>
      </c>
    </row>
    <row r="644" spans="1:20" ht="12.75">
      <c r="A644">
        <v>401</v>
      </c>
      <c r="B644">
        <v>74</v>
      </c>
      <c r="C644">
        <v>185</v>
      </c>
      <c r="D644">
        <v>182</v>
      </c>
      <c r="E644">
        <v>167</v>
      </c>
      <c r="F644">
        <v>292</v>
      </c>
      <c r="G644">
        <v>15</v>
      </c>
      <c r="H644">
        <v>156</v>
      </c>
      <c r="I644" s="4"/>
      <c r="J644" s="5">
        <v>46</v>
      </c>
      <c r="K644" s="6"/>
      <c r="L644" s="7">
        <v>49</v>
      </c>
      <c r="M644" s="8">
        <v>46</v>
      </c>
      <c r="N644" s="9">
        <v>28</v>
      </c>
      <c r="O644" s="10">
        <v>74</v>
      </c>
      <c r="P644" s="11">
        <v>19</v>
      </c>
      <c r="Q644" s="12">
        <v>59</v>
      </c>
      <c r="R644" s="13">
        <v>19</v>
      </c>
      <c r="S644" s="14">
        <v>87</v>
      </c>
      <c r="T644" s="15">
        <v>9</v>
      </c>
    </row>
    <row r="649" spans="1:20" ht="12.75">
      <c r="A649">
        <v>124</v>
      </c>
      <c r="B649">
        <v>86</v>
      </c>
      <c r="C649">
        <v>317</v>
      </c>
      <c r="D649">
        <v>583</v>
      </c>
      <c r="E649">
        <v>137</v>
      </c>
      <c r="F649">
        <v>211</v>
      </c>
      <c r="G649">
        <v>175</v>
      </c>
      <c r="H649">
        <v>143</v>
      </c>
      <c r="I649" s="4">
        <v>21</v>
      </c>
      <c r="J649" s="5">
        <v>48</v>
      </c>
      <c r="K649" s="6">
        <v>48</v>
      </c>
      <c r="L649" s="7">
        <v>41</v>
      </c>
      <c r="M649" s="8">
        <v>31</v>
      </c>
      <c r="N649" s="9">
        <v>43</v>
      </c>
      <c r="O649" s="10">
        <v>52</v>
      </c>
      <c r="P649" s="11">
        <v>22</v>
      </c>
      <c r="Q649" s="12"/>
      <c r="R649" s="13">
        <v>27</v>
      </c>
      <c r="S649" s="14">
        <v>288</v>
      </c>
      <c r="T649" s="15">
        <v>7</v>
      </c>
    </row>
    <row r="656" spans="1:20" ht="12.75">
      <c r="A656">
        <v>44</v>
      </c>
      <c r="B656">
        <v>13</v>
      </c>
      <c r="C656">
        <v>645</v>
      </c>
      <c r="D656">
        <v>638</v>
      </c>
      <c r="E656">
        <v>190</v>
      </c>
      <c r="F656">
        <v>121</v>
      </c>
      <c r="G656">
        <v>193</v>
      </c>
      <c r="H656">
        <v>139</v>
      </c>
      <c r="I656" s="4">
        <v>5</v>
      </c>
      <c r="J656" s="5"/>
      <c r="K656" s="6">
        <v>5</v>
      </c>
      <c r="L656" s="7"/>
      <c r="M656" s="8"/>
      <c r="N656" s="9">
        <v>2</v>
      </c>
      <c r="O656" s="10">
        <v>12</v>
      </c>
      <c r="P656" s="11"/>
      <c r="Q656" s="12"/>
      <c r="R656" s="13">
        <v>4</v>
      </c>
      <c r="S656" s="14">
        <v>12</v>
      </c>
      <c r="T656" s="15"/>
    </row>
    <row r="657" spans="1:20" ht="12.75">
      <c r="A657">
        <v>21</v>
      </c>
      <c r="B657">
        <v>11</v>
      </c>
      <c r="C657">
        <v>453</v>
      </c>
      <c r="D657">
        <v>313</v>
      </c>
      <c r="E657">
        <v>113</v>
      </c>
      <c r="F657">
        <v>337</v>
      </c>
      <c r="G657">
        <v>20</v>
      </c>
      <c r="H657">
        <v>152</v>
      </c>
      <c r="I657" s="4">
        <v>3</v>
      </c>
      <c r="J657" s="5">
        <v>35</v>
      </c>
      <c r="K657" s="6">
        <v>5</v>
      </c>
      <c r="L657" s="7">
        <v>36</v>
      </c>
      <c r="M657" s="8">
        <v>32</v>
      </c>
      <c r="N657" s="9">
        <v>3</v>
      </c>
      <c r="O657" s="10">
        <v>14</v>
      </c>
      <c r="P657" s="11">
        <v>3</v>
      </c>
      <c r="Q657" s="12">
        <v>20</v>
      </c>
      <c r="R657" s="13">
        <v>7</v>
      </c>
      <c r="S657" s="14">
        <v>13</v>
      </c>
      <c r="T657" s="15">
        <v>4</v>
      </c>
    </row>
    <row r="661" spans="1:20" ht="12.75">
      <c r="A661">
        <v>61</v>
      </c>
      <c r="B661">
        <v>25</v>
      </c>
      <c r="C661">
        <v>465</v>
      </c>
      <c r="D661">
        <v>464</v>
      </c>
      <c r="E661">
        <v>164</v>
      </c>
      <c r="F661">
        <v>174</v>
      </c>
      <c r="G661">
        <v>150</v>
      </c>
      <c r="H661">
        <v>136</v>
      </c>
      <c r="I661" s="4"/>
      <c r="J661" s="5">
        <v>46</v>
      </c>
      <c r="K661" s="6">
        <v>7</v>
      </c>
      <c r="L661" s="7">
        <v>46</v>
      </c>
      <c r="M661" s="8"/>
      <c r="N661" s="9">
        <v>17</v>
      </c>
      <c r="O661" s="10">
        <v>42</v>
      </c>
      <c r="P661" s="11">
        <v>7</v>
      </c>
      <c r="Q661" s="12"/>
      <c r="R661" s="13">
        <v>17</v>
      </c>
      <c r="S661" s="14"/>
      <c r="T661" s="15">
        <v>3</v>
      </c>
    </row>
    <row r="663" spans="1:20" ht="12.75">
      <c r="A663">
        <v>6</v>
      </c>
      <c r="B663">
        <v>1</v>
      </c>
      <c r="C663">
        <v>798</v>
      </c>
      <c r="D663">
        <v>757</v>
      </c>
      <c r="E663">
        <v>437</v>
      </c>
      <c r="F663">
        <v>359</v>
      </c>
      <c r="G663">
        <v>228</v>
      </c>
      <c r="H663">
        <v>179</v>
      </c>
      <c r="I663" s="4">
        <v>1</v>
      </c>
      <c r="J663" s="5"/>
      <c r="K663" s="6">
        <v>1</v>
      </c>
      <c r="L663" s="7"/>
      <c r="M663" s="8">
        <v>1</v>
      </c>
      <c r="N663" s="9"/>
      <c r="O663" s="10">
        <v>1</v>
      </c>
      <c r="P663" s="11"/>
      <c r="Q663" s="12">
        <v>1</v>
      </c>
      <c r="R663" s="13"/>
      <c r="S663" s="14">
        <v>1</v>
      </c>
      <c r="T663" s="15"/>
    </row>
    <row r="668" spans="1:20" ht="12.75">
      <c r="A668">
        <v>62</v>
      </c>
      <c r="B668">
        <v>11</v>
      </c>
      <c r="C668">
        <v>433</v>
      </c>
      <c r="D668">
        <v>280</v>
      </c>
      <c r="E668">
        <v>489</v>
      </c>
      <c r="F668">
        <v>212</v>
      </c>
      <c r="G668">
        <v>162</v>
      </c>
      <c r="H668">
        <v>139</v>
      </c>
      <c r="I668" s="4">
        <v>2</v>
      </c>
      <c r="J668" s="5">
        <v>41</v>
      </c>
      <c r="K668" s="6">
        <v>2</v>
      </c>
      <c r="L668" s="7">
        <v>43</v>
      </c>
      <c r="M668" s="8">
        <v>32</v>
      </c>
      <c r="N668" s="9">
        <v>5</v>
      </c>
      <c r="O668" s="10">
        <v>8</v>
      </c>
      <c r="P668" s="11">
        <v>8</v>
      </c>
      <c r="Q668" s="12">
        <v>36</v>
      </c>
      <c r="R668" s="13">
        <v>3</v>
      </c>
      <c r="S668" s="14">
        <v>49</v>
      </c>
      <c r="T668" s="15">
        <v>2</v>
      </c>
    </row>
    <row r="674" spans="1:20" ht="12.75">
      <c r="A674">
        <v>8</v>
      </c>
      <c r="B674">
        <v>8</v>
      </c>
      <c r="C674">
        <v>379</v>
      </c>
      <c r="D674">
        <v>386</v>
      </c>
      <c r="E674">
        <v>92</v>
      </c>
      <c r="F674">
        <v>176</v>
      </c>
      <c r="G674">
        <v>42</v>
      </c>
      <c r="H674">
        <v>33</v>
      </c>
      <c r="I674" s="4">
        <v>1</v>
      </c>
      <c r="J674" s="5">
        <v>5</v>
      </c>
      <c r="K674" s="6">
        <v>4</v>
      </c>
      <c r="L674" s="7">
        <v>6</v>
      </c>
      <c r="M674" s="8">
        <v>3</v>
      </c>
      <c r="N674" s="9">
        <v>5</v>
      </c>
      <c r="O674" s="10">
        <v>4</v>
      </c>
      <c r="P674" s="11">
        <v>4</v>
      </c>
      <c r="Q674" s="12">
        <v>3</v>
      </c>
      <c r="R674" s="13">
        <v>5</v>
      </c>
      <c r="S674" s="14">
        <v>3</v>
      </c>
      <c r="T674" s="15">
        <v>5</v>
      </c>
    </row>
    <row r="678" spans="1:20" ht="12.75">
      <c r="A678">
        <v>3</v>
      </c>
      <c r="B678">
        <v>3</v>
      </c>
      <c r="C678">
        <v>311</v>
      </c>
      <c r="D678">
        <v>230</v>
      </c>
      <c r="E678">
        <v>61</v>
      </c>
      <c r="F678">
        <v>12</v>
      </c>
      <c r="G678">
        <v>23</v>
      </c>
      <c r="H678">
        <v>1</v>
      </c>
      <c r="I678" s="4">
        <v>2</v>
      </c>
      <c r="J678" s="5">
        <v>2</v>
      </c>
      <c r="K678" s="6">
        <v>4</v>
      </c>
      <c r="L678" s="7">
        <v>2</v>
      </c>
      <c r="M678" s="8">
        <v>1</v>
      </c>
      <c r="N678" s="9">
        <v>5</v>
      </c>
      <c r="O678" s="10">
        <v>4</v>
      </c>
      <c r="P678" s="11">
        <v>1</v>
      </c>
      <c r="Q678" s="12">
        <v>2</v>
      </c>
      <c r="R678" s="13">
        <v>3</v>
      </c>
      <c r="S678" s="14">
        <v>4</v>
      </c>
      <c r="T678" s="15">
        <v>1</v>
      </c>
    </row>
    <row r="694" spans="1:20" ht="12.75">
      <c r="A694">
        <v>13</v>
      </c>
      <c r="B694">
        <v>10</v>
      </c>
      <c r="C694">
        <v>958</v>
      </c>
      <c r="D694">
        <v>906</v>
      </c>
      <c r="E694">
        <v>537</v>
      </c>
      <c r="F694">
        <v>507</v>
      </c>
      <c r="G694">
        <v>214</v>
      </c>
      <c r="H694">
        <v>235</v>
      </c>
      <c r="I694" s="4"/>
      <c r="J694" s="5">
        <v>2</v>
      </c>
      <c r="K694" s="6">
        <v>9</v>
      </c>
      <c r="L694" s="7">
        <v>2</v>
      </c>
      <c r="M694" s="8">
        <v>6</v>
      </c>
      <c r="N694" s="9">
        <v>5</v>
      </c>
      <c r="O694" s="10">
        <v>8</v>
      </c>
      <c r="P694" s="11">
        <v>4</v>
      </c>
      <c r="Q694" s="12"/>
      <c r="R694" s="13">
        <v>7</v>
      </c>
      <c r="S694" s="14"/>
      <c r="T694" s="15">
        <v>4</v>
      </c>
    </row>
    <row r="696" spans="1:20" ht="12.75">
      <c r="A696">
        <v>442</v>
      </c>
      <c r="B696">
        <v>94</v>
      </c>
      <c r="C696">
        <v>1028</v>
      </c>
      <c r="D696">
        <v>1070</v>
      </c>
      <c r="E696">
        <v>287</v>
      </c>
      <c r="F696">
        <v>241</v>
      </c>
      <c r="G696">
        <v>910</v>
      </c>
      <c r="H696">
        <v>910</v>
      </c>
      <c r="I696" s="4">
        <v>11</v>
      </c>
      <c r="J696" s="5"/>
      <c r="K696" s="6">
        <v>25</v>
      </c>
      <c r="L696" s="7"/>
      <c r="M696" s="8"/>
      <c r="N696" s="9">
        <v>35</v>
      </c>
      <c r="O696" s="10">
        <v>73</v>
      </c>
      <c r="P696" s="11"/>
      <c r="Q696" s="12"/>
      <c r="R696" s="13">
        <v>39</v>
      </c>
      <c r="S696" s="14">
        <v>72</v>
      </c>
      <c r="T696" s="15"/>
    </row>
    <row r="697" spans="1:20" ht="12.75">
      <c r="A697">
        <v>324</v>
      </c>
      <c r="B697">
        <v>111</v>
      </c>
      <c r="C697">
        <v>192</v>
      </c>
      <c r="D697">
        <v>229</v>
      </c>
      <c r="E697">
        <v>8</v>
      </c>
      <c r="F697">
        <v>148</v>
      </c>
      <c r="G697">
        <v>84</v>
      </c>
      <c r="H697">
        <v>241</v>
      </c>
      <c r="I697" s="4">
        <v>38</v>
      </c>
      <c r="J697" s="5">
        <v>243</v>
      </c>
      <c r="K697" s="6">
        <v>44</v>
      </c>
      <c r="L697" s="7">
        <v>237</v>
      </c>
      <c r="M697" s="8"/>
      <c r="N697" s="9">
        <v>60</v>
      </c>
      <c r="O697" s="10">
        <v>254</v>
      </c>
      <c r="P697" s="11">
        <v>51</v>
      </c>
      <c r="Q697" s="12"/>
      <c r="R697" s="13">
        <v>55</v>
      </c>
      <c r="S697" s="14">
        <v>298</v>
      </c>
      <c r="T697" s="15">
        <v>35</v>
      </c>
    </row>
    <row r="701" spans="1:20" ht="12.75">
      <c r="A701">
        <v>94</v>
      </c>
      <c r="B701">
        <v>57</v>
      </c>
      <c r="C701">
        <v>303</v>
      </c>
      <c r="D701">
        <v>248</v>
      </c>
      <c r="E701">
        <v>177</v>
      </c>
      <c r="F701">
        <v>160</v>
      </c>
      <c r="G701">
        <v>50</v>
      </c>
      <c r="H701">
        <v>112</v>
      </c>
      <c r="I701" s="4">
        <v>237</v>
      </c>
      <c r="J701" s="5">
        <v>44</v>
      </c>
      <c r="K701" s="6">
        <v>354</v>
      </c>
      <c r="L701" s="7">
        <v>43</v>
      </c>
      <c r="M701" s="8">
        <v>11</v>
      </c>
      <c r="N701" s="9">
        <v>82</v>
      </c>
      <c r="O701" s="10">
        <v>36</v>
      </c>
      <c r="P701" s="11">
        <v>33</v>
      </c>
      <c r="Q701" s="12">
        <v>32</v>
      </c>
      <c r="R701" s="13">
        <v>41</v>
      </c>
      <c r="S701" s="14">
        <v>87</v>
      </c>
      <c r="T701" s="15">
        <v>4</v>
      </c>
    </row>
    <row r="713" spans="1:20" ht="12.75">
      <c r="A713">
        <v>537</v>
      </c>
      <c r="B713">
        <v>150</v>
      </c>
      <c r="C713">
        <v>418</v>
      </c>
      <c r="D713">
        <v>633</v>
      </c>
      <c r="E713">
        <v>326</v>
      </c>
      <c r="F713">
        <v>257</v>
      </c>
      <c r="G713">
        <v>220</v>
      </c>
      <c r="H713">
        <v>167</v>
      </c>
      <c r="I713" s="4"/>
      <c r="J713" s="5">
        <v>83</v>
      </c>
      <c r="K713" s="6"/>
      <c r="L713" s="7">
        <v>84</v>
      </c>
      <c r="M713" s="8"/>
      <c r="N713" s="9">
        <v>93</v>
      </c>
      <c r="O713" s="10"/>
      <c r="P713" s="11">
        <v>47</v>
      </c>
      <c r="Q713" s="12"/>
      <c r="R713" s="13">
        <v>36</v>
      </c>
      <c r="S713" s="14"/>
      <c r="T713" s="15">
        <v>10</v>
      </c>
    </row>
    <row r="714" spans="1:20" ht="12.75">
      <c r="A714">
        <v>21</v>
      </c>
      <c r="B714">
        <v>4</v>
      </c>
      <c r="C714">
        <v>801</v>
      </c>
      <c r="D714">
        <v>846</v>
      </c>
      <c r="E714">
        <v>449</v>
      </c>
      <c r="F714">
        <v>281</v>
      </c>
      <c r="G714">
        <v>118</v>
      </c>
      <c r="H714">
        <v>111</v>
      </c>
      <c r="I714" s="4"/>
      <c r="J714" s="5"/>
      <c r="K714" s="6">
        <v>3</v>
      </c>
      <c r="L714" s="7"/>
      <c r="M714" s="8">
        <v>2</v>
      </c>
      <c r="N714" s="9"/>
      <c r="O714" s="10"/>
      <c r="P714" s="11">
        <v>1</v>
      </c>
      <c r="Q714" s="12"/>
      <c r="R714" s="13">
        <v>4</v>
      </c>
      <c r="S714" s="14"/>
      <c r="T714" s="15">
        <v>1</v>
      </c>
    </row>
    <row r="715" spans="1:20" ht="12.75">
      <c r="A715">
        <v>7</v>
      </c>
      <c r="B715">
        <v>5</v>
      </c>
      <c r="C715">
        <v>823</v>
      </c>
      <c r="D715">
        <v>852</v>
      </c>
      <c r="E715">
        <v>511</v>
      </c>
      <c r="F715">
        <v>177</v>
      </c>
      <c r="G715">
        <v>251</v>
      </c>
      <c r="H715">
        <v>234</v>
      </c>
      <c r="I715" s="4">
        <v>3</v>
      </c>
      <c r="J715" s="5"/>
      <c r="K715" s="6">
        <v>3</v>
      </c>
      <c r="L715" s="7"/>
      <c r="M715" s="8">
        <v>3</v>
      </c>
      <c r="N715" s="9"/>
      <c r="O715" s="10">
        <v>4</v>
      </c>
      <c r="P715" s="11"/>
      <c r="Q715" s="12"/>
      <c r="R715" s="13">
        <v>3</v>
      </c>
      <c r="S715" s="14">
        <v>4</v>
      </c>
      <c r="T715" s="15"/>
    </row>
    <row r="716" spans="1:20" ht="12.75">
      <c r="A716">
        <v>143</v>
      </c>
      <c r="B716">
        <v>11</v>
      </c>
      <c r="C716">
        <v>708</v>
      </c>
      <c r="D716">
        <v>623</v>
      </c>
      <c r="E716">
        <v>389</v>
      </c>
      <c r="F716">
        <v>385</v>
      </c>
      <c r="G716">
        <v>70</v>
      </c>
      <c r="H716">
        <v>102</v>
      </c>
      <c r="I716" s="4">
        <v>2</v>
      </c>
      <c r="J716" s="5"/>
      <c r="K716" s="6">
        <v>3</v>
      </c>
      <c r="L716" s="7"/>
      <c r="M716" s="8">
        <v>8</v>
      </c>
      <c r="N716" s="9"/>
      <c r="O716" s="10"/>
      <c r="P716" s="11">
        <v>2</v>
      </c>
      <c r="Q716" s="12">
        <v>8</v>
      </c>
      <c r="R716" s="13"/>
      <c r="S716" s="14"/>
      <c r="T716" s="15">
        <v>2</v>
      </c>
    </row>
    <row r="717" spans="1:20" ht="12.75">
      <c r="A717">
        <v>1</v>
      </c>
      <c r="B717">
        <v>1</v>
      </c>
      <c r="C717">
        <v>239</v>
      </c>
      <c r="D717">
        <v>229</v>
      </c>
      <c r="E717">
        <v>320</v>
      </c>
      <c r="F717">
        <v>227</v>
      </c>
      <c r="G717">
        <v>20</v>
      </c>
      <c r="H717">
        <v>18</v>
      </c>
      <c r="I717" s="4">
        <v>1</v>
      </c>
      <c r="J717" s="5">
        <v>1</v>
      </c>
      <c r="K717" s="6">
        <v>1</v>
      </c>
      <c r="L717" s="7">
        <v>1</v>
      </c>
      <c r="M717" s="8">
        <v>1</v>
      </c>
      <c r="N717" s="9"/>
      <c r="O717" s="10">
        <v>15</v>
      </c>
      <c r="P717" s="11">
        <v>1</v>
      </c>
      <c r="Q717" s="12">
        <v>1</v>
      </c>
      <c r="R717" s="13"/>
      <c r="S717" s="14">
        <v>16</v>
      </c>
      <c r="T717" s="15">
        <v>1</v>
      </c>
    </row>
    <row r="722" spans="1:20" ht="12.75">
      <c r="A722">
        <v>97</v>
      </c>
      <c r="B722">
        <v>42</v>
      </c>
      <c r="C722">
        <v>930</v>
      </c>
      <c r="D722">
        <v>1005</v>
      </c>
      <c r="E722">
        <v>808</v>
      </c>
      <c r="F722">
        <v>802</v>
      </c>
      <c r="G722">
        <v>69</v>
      </c>
      <c r="H722">
        <v>195</v>
      </c>
      <c r="I722" s="4"/>
      <c r="J722" s="5"/>
      <c r="K722" s="6">
        <v>11</v>
      </c>
      <c r="L722" s="7"/>
      <c r="M722" s="8">
        <v>14</v>
      </c>
      <c r="N722" s="9"/>
      <c r="O722" s="10">
        <v>67</v>
      </c>
      <c r="P722" s="11">
        <v>17</v>
      </c>
      <c r="Q722" s="12">
        <v>22</v>
      </c>
      <c r="R722" s="13"/>
      <c r="S722" s="14">
        <v>97</v>
      </c>
      <c r="T722" s="15">
        <v>5</v>
      </c>
    </row>
    <row r="726" spans="1:20" ht="12.75">
      <c r="A726">
        <v>27</v>
      </c>
      <c r="B726">
        <v>15</v>
      </c>
      <c r="C726">
        <v>45</v>
      </c>
      <c r="D726">
        <v>53</v>
      </c>
      <c r="E726">
        <v>12</v>
      </c>
      <c r="F726">
        <v>6</v>
      </c>
      <c r="G726">
        <v>2</v>
      </c>
      <c r="H726">
        <v>231</v>
      </c>
      <c r="I726" s="4">
        <v>3</v>
      </c>
      <c r="J726" s="5">
        <v>13</v>
      </c>
      <c r="K726" s="6"/>
      <c r="L726" s="7">
        <v>12</v>
      </c>
      <c r="M726" s="8"/>
      <c r="N726" s="9">
        <v>10</v>
      </c>
      <c r="O726" s="10">
        <v>6</v>
      </c>
      <c r="P726" s="11">
        <v>10</v>
      </c>
      <c r="Q726" s="12">
        <v>8</v>
      </c>
      <c r="R726" s="13">
        <v>8</v>
      </c>
      <c r="S726" s="14">
        <v>6</v>
      </c>
      <c r="T726" s="15"/>
    </row>
    <row r="731" spans="1:20" ht="12.75">
      <c r="A731">
        <v>22</v>
      </c>
      <c r="B731">
        <v>8</v>
      </c>
      <c r="C731">
        <v>185</v>
      </c>
      <c r="D731">
        <v>106</v>
      </c>
      <c r="E731">
        <v>118</v>
      </c>
      <c r="F731">
        <v>65</v>
      </c>
      <c r="G731">
        <v>78</v>
      </c>
      <c r="H731">
        <v>56</v>
      </c>
      <c r="I731" s="4">
        <v>41</v>
      </c>
      <c r="J731" s="5"/>
      <c r="K731" s="6"/>
      <c r="L731" s="7">
        <v>2</v>
      </c>
      <c r="M731" s="8">
        <v>2</v>
      </c>
      <c r="N731" s="9"/>
      <c r="O731" s="10">
        <v>4</v>
      </c>
      <c r="P731" s="11"/>
      <c r="Q731" s="12">
        <v>108</v>
      </c>
      <c r="R731" s="13">
        <v>3</v>
      </c>
      <c r="S731" s="14">
        <v>4</v>
      </c>
      <c r="T731" s="15"/>
    </row>
    <row r="734" spans="1:20" ht="12.75">
      <c r="A734">
        <v>65</v>
      </c>
      <c r="B734">
        <v>4</v>
      </c>
      <c r="C734">
        <v>330</v>
      </c>
      <c r="D734">
        <v>338</v>
      </c>
      <c r="E734">
        <v>39</v>
      </c>
      <c r="F734">
        <v>346</v>
      </c>
      <c r="G734">
        <v>120</v>
      </c>
      <c r="H734">
        <v>133</v>
      </c>
      <c r="I734" s="4"/>
      <c r="J734" s="5">
        <v>73</v>
      </c>
      <c r="K734" s="6"/>
      <c r="L734" s="7">
        <v>4</v>
      </c>
      <c r="M734" s="8">
        <v>3</v>
      </c>
      <c r="N734" s="9">
        <v>38</v>
      </c>
      <c r="O734" s="10"/>
      <c r="P734" s="11">
        <v>1</v>
      </c>
      <c r="Q734" s="12">
        <v>2</v>
      </c>
      <c r="R734" s="13"/>
      <c r="S734" s="14">
        <v>104</v>
      </c>
      <c r="T734" s="15">
        <v>1</v>
      </c>
    </row>
    <row r="737" spans="1:20" ht="12.75">
      <c r="A737">
        <v>1</v>
      </c>
      <c r="B737">
        <v>1</v>
      </c>
      <c r="C737">
        <v>781</v>
      </c>
      <c r="D737">
        <v>554</v>
      </c>
      <c r="E737">
        <v>320</v>
      </c>
      <c r="F737">
        <v>135</v>
      </c>
      <c r="G737">
        <v>149</v>
      </c>
      <c r="H737">
        <v>145</v>
      </c>
      <c r="I737" s="4">
        <v>10</v>
      </c>
      <c r="J737" s="5">
        <v>1</v>
      </c>
      <c r="K737" s="6">
        <v>1</v>
      </c>
      <c r="L737" s="7">
        <v>1</v>
      </c>
      <c r="M737" s="8">
        <v>1</v>
      </c>
      <c r="N737" s="9">
        <v>7</v>
      </c>
      <c r="O737" s="10">
        <v>1</v>
      </c>
      <c r="P737" s="11">
        <v>2</v>
      </c>
      <c r="Q737" s="12">
        <v>2</v>
      </c>
      <c r="R737" s="13">
        <v>1</v>
      </c>
      <c r="S737" s="14">
        <v>4</v>
      </c>
      <c r="T737" s="15">
        <v>1</v>
      </c>
    </row>
    <row r="743" spans="1:20" ht="12.75">
      <c r="A743">
        <v>1</v>
      </c>
      <c r="B743">
        <v>1</v>
      </c>
      <c r="C743">
        <v>338</v>
      </c>
      <c r="D743">
        <v>222</v>
      </c>
      <c r="E743">
        <v>319</v>
      </c>
      <c r="F743">
        <v>108</v>
      </c>
      <c r="G743">
        <v>147</v>
      </c>
      <c r="H743">
        <v>142</v>
      </c>
      <c r="I743" s="4">
        <v>9</v>
      </c>
      <c r="J743" s="5">
        <v>2</v>
      </c>
      <c r="K743" s="6">
        <v>1</v>
      </c>
      <c r="L743" s="7">
        <v>2</v>
      </c>
      <c r="M743" s="8">
        <v>1</v>
      </c>
      <c r="N743" s="9">
        <v>14</v>
      </c>
      <c r="O743" s="10">
        <v>1</v>
      </c>
      <c r="P743" s="11">
        <v>3</v>
      </c>
      <c r="Q743" s="12">
        <v>4</v>
      </c>
      <c r="R743" s="13">
        <v>1</v>
      </c>
      <c r="S743" s="14">
        <v>5</v>
      </c>
      <c r="T743" s="15">
        <v>1</v>
      </c>
    </row>
    <row r="749" spans="1:20" ht="12.75">
      <c r="A749">
        <v>25</v>
      </c>
      <c r="B749">
        <v>5</v>
      </c>
      <c r="C749">
        <v>456</v>
      </c>
      <c r="D749">
        <v>442</v>
      </c>
      <c r="E749">
        <v>1125</v>
      </c>
      <c r="F749">
        <v>1057</v>
      </c>
      <c r="G749">
        <v>451</v>
      </c>
      <c r="H749">
        <v>396</v>
      </c>
      <c r="I749" s="4"/>
      <c r="J749" s="5">
        <v>1</v>
      </c>
      <c r="K749" s="6"/>
      <c r="L749" s="7">
        <v>1</v>
      </c>
      <c r="M749" s="8">
        <v>1</v>
      </c>
      <c r="N749" s="9"/>
      <c r="O749" s="10">
        <v>2</v>
      </c>
      <c r="P749" s="11"/>
      <c r="Q749" s="12">
        <v>1</v>
      </c>
      <c r="R749" s="13"/>
      <c r="S749" s="14">
        <v>2</v>
      </c>
      <c r="T749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2010-02-03T21:40:52Z</dcterms:created>
  <dcterms:modified xsi:type="dcterms:W3CDTF">2011-02-21T02:07:37Z</dcterms:modified>
  <cp:category/>
  <cp:version/>
  <cp:contentType/>
  <cp:contentStatus/>
</cp:coreProperties>
</file>